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Людмила\боулспорт\Гран-При\"/>
    </mc:Choice>
  </mc:AlternateContent>
  <xr:revisionPtr revIDLastSave="0" documentId="13_ncr:1_{209D8640-4D01-46F0-9FCB-3A1C861FE0DE}" xr6:coauthVersionLast="45" xr6:coauthVersionMax="45" xr10:uidLastSave="{00000000-0000-0000-0000-000000000000}"/>
  <bookViews>
    <workbookView xWindow="-120" yWindow="-120" windowWidth="29040" windowHeight="15840" firstSheet="2" activeTab="5" xr2:uid="{69489DC2-E069-4396-91BA-14F7509D4567}"/>
  </bookViews>
  <sheets>
    <sheet name="ОРТ Железный шар (мужчины)" sheetId="2" r:id="rId1"/>
    <sheet name="ОРТ Железный шар (женщины)" sheetId="3" r:id="rId2"/>
    <sheet name="Кубок ВФБ (миксты)" sheetId="1" r:id="rId3"/>
    <sheet name="Итоги ГП России ОРТ ЖШ муж" sheetId="7" r:id="rId4"/>
    <sheet name="Итоги ГП России ОРТ ЖШ жен" sheetId="8" r:id="rId5"/>
    <sheet name="Итоги ГП России Кубок ВФБ микст" sheetId="9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5" i="2" l="1"/>
  <c r="J6" i="3"/>
  <c r="J14" i="3"/>
  <c r="H38" i="3"/>
  <c r="H10" i="3"/>
  <c r="C38" i="3"/>
  <c r="K12" i="3"/>
  <c r="C52" i="3"/>
  <c r="H42" i="3"/>
  <c r="F14" i="3"/>
  <c r="C47" i="3"/>
  <c r="H12" i="3"/>
  <c r="H39" i="3"/>
  <c r="K18" i="2"/>
  <c r="L14" i="2"/>
  <c r="J6" i="1"/>
  <c r="H18" i="2"/>
  <c r="H34" i="1"/>
  <c r="J6" i="2"/>
  <c r="H55" i="2"/>
  <c r="L6" i="2"/>
  <c r="H52" i="1"/>
  <c r="C32" i="1"/>
  <c r="H26" i="2"/>
  <c r="H36" i="2"/>
  <c r="C28" i="1"/>
  <c r="F12" i="2"/>
  <c r="M16" i="2"/>
  <c r="F6" i="2"/>
  <c r="H47" i="1"/>
  <c r="J4" i="2"/>
  <c r="I6" i="2"/>
  <c r="M4" i="2"/>
  <c r="H12" i="2"/>
  <c r="H49" i="2"/>
  <c r="F14" i="2"/>
  <c r="C56" i="2"/>
  <c r="C29" i="1"/>
  <c r="H24" i="1"/>
  <c r="I12" i="1"/>
  <c r="C42" i="1"/>
  <c r="C38" i="1"/>
  <c r="C48" i="2"/>
  <c r="H31" i="2"/>
  <c r="C39" i="1"/>
  <c r="C33" i="1"/>
  <c r="C29" i="3"/>
  <c r="H48" i="3"/>
  <c r="F8" i="3"/>
  <c r="H34" i="3"/>
  <c r="K6" i="3"/>
  <c r="G16" i="1"/>
  <c r="M6" i="2"/>
  <c r="H61" i="2"/>
  <c r="H16" i="1"/>
  <c r="C31" i="2"/>
  <c r="H27" i="1"/>
  <c r="F16" i="3"/>
  <c r="G4" i="3"/>
  <c r="H28" i="3"/>
  <c r="L8" i="3"/>
  <c r="C33" i="3"/>
  <c r="G10" i="3"/>
  <c r="C37" i="3"/>
  <c r="G12" i="3"/>
  <c r="H37" i="3"/>
  <c r="I12" i="3"/>
  <c r="C42" i="3"/>
  <c r="L10" i="3"/>
  <c r="H24" i="3"/>
  <c r="M10" i="2"/>
  <c r="F8" i="2"/>
  <c r="H16" i="2"/>
  <c r="J8" i="2"/>
  <c r="J7" i="1"/>
  <c r="G4" i="2"/>
  <c r="J14" i="1"/>
  <c r="K6" i="1"/>
  <c r="L10" i="2"/>
  <c r="I8" i="2"/>
  <c r="H12" i="1"/>
  <c r="C44" i="2"/>
  <c r="J10" i="2"/>
  <c r="I14" i="2"/>
  <c r="L4" i="1"/>
  <c r="K12" i="2"/>
  <c r="G17" i="1"/>
  <c r="C49" i="1"/>
  <c r="H29" i="1"/>
  <c r="G10" i="1"/>
  <c r="H44" i="2"/>
  <c r="G8" i="2"/>
  <c r="K4" i="2"/>
  <c r="K8" i="2"/>
  <c r="G12" i="1"/>
  <c r="H42" i="2"/>
  <c r="C61" i="2"/>
  <c r="K10" i="1"/>
  <c r="K19" i="2"/>
  <c r="H43" i="2"/>
  <c r="C47" i="1"/>
  <c r="H45" i="2"/>
  <c r="H57" i="2"/>
  <c r="C22" i="1"/>
  <c r="H27" i="2"/>
  <c r="H54" i="3"/>
  <c r="C34" i="3"/>
  <c r="F17" i="3"/>
  <c r="I16" i="3"/>
  <c r="K10" i="2"/>
  <c r="J16" i="2"/>
  <c r="J17" i="2" s="1"/>
  <c r="C44" i="1"/>
  <c r="C24" i="2"/>
  <c r="F12" i="1"/>
  <c r="H39" i="1"/>
  <c r="H32" i="1"/>
  <c r="H56" i="2"/>
  <c r="I14" i="3"/>
  <c r="I15" i="3" s="1"/>
  <c r="C49" i="3"/>
  <c r="K10" i="3"/>
  <c r="H23" i="3"/>
  <c r="I6" i="3"/>
  <c r="C28" i="3"/>
  <c r="K8" i="3"/>
  <c r="J15" i="3"/>
  <c r="J7" i="3"/>
  <c r="H32" i="3"/>
  <c r="F10" i="3"/>
  <c r="C32" i="3"/>
  <c r="G16" i="3"/>
  <c r="F8" i="1"/>
  <c r="G8" i="1"/>
  <c r="G9" i="1" s="1"/>
  <c r="H10" i="1"/>
  <c r="F10" i="1"/>
  <c r="C62" i="2"/>
  <c r="C51" i="2"/>
  <c r="F9" i="1"/>
  <c r="J18" i="2"/>
  <c r="J19" i="2" s="1"/>
  <c r="J16" i="1"/>
  <c r="C30" i="2"/>
  <c r="L6" i="1"/>
  <c r="L7" i="1" s="1"/>
  <c r="C27" i="1"/>
  <c r="L18" i="2"/>
  <c r="H4" i="1"/>
  <c r="H5" i="1" s="1"/>
  <c r="K8" i="1"/>
  <c r="L7" i="2"/>
  <c r="L10" i="1"/>
  <c r="C60" i="2"/>
  <c r="H44" i="1"/>
  <c r="L12" i="2"/>
  <c r="H37" i="2"/>
  <c r="I8" i="1"/>
  <c r="K16" i="1"/>
  <c r="K12" i="1"/>
  <c r="H48" i="2"/>
  <c r="H43" i="1"/>
  <c r="H54" i="2"/>
  <c r="H14" i="1"/>
  <c r="H60" i="2"/>
  <c r="F18" i="2"/>
  <c r="H63" i="2"/>
  <c r="C45" i="2"/>
  <c r="C57" i="2"/>
  <c r="C38" i="2"/>
  <c r="C48" i="1"/>
  <c r="C50" i="2"/>
  <c r="C27" i="3"/>
  <c r="C48" i="3"/>
  <c r="H43" i="3"/>
  <c r="H47" i="3"/>
  <c r="H44" i="3"/>
  <c r="I12" i="2"/>
  <c r="L8" i="1"/>
  <c r="H53" i="1"/>
  <c r="C24" i="1"/>
  <c r="C37" i="2"/>
  <c r="C54" i="3"/>
  <c r="F12" i="3"/>
  <c r="F13" i="3" s="1"/>
  <c r="C24" i="3"/>
  <c r="G8" i="3"/>
  <c r="G9" i="3" s="1"/>
  <c r="K16" i="3"/>
  <c r="L4" i="3"/>
  <c r="C23" i="3"/>
  <c r="H6" i="3"/>
  <c r="K11" i="3"/>
  <c r="H4" i="3"/>
  <c r="H27" i="3"/>
  <c r="C22" i="3"/>
  <c r="L6" i="3"/>
  <c r="I18" i="2"/>
  <c r="C42" i="2"/>
  <c r="M12" i="2"/>
  <c r="G18" i="2"/>
  <c r="C54" i="1"/>
  <c r="L4" i="2"/>
  <c r="H50" i="2"/>
  <c r="L8" i="2"/>
  <c r="L9" i="2" s="1"/>
  <c r="G16" i="2"/>
  <c r="K16" i="2"/>
  <c r="H33" i="1"/>
  <c r="J15" i="1"/>
  <c r="I16" i="2"/>
  <c r="C54" i="2"/>
  <c r="I16" i="1"/>
  <c r="H39" i="2"/>
  <c r="H48" i="1"/>
  <c r="I15" i="2"/>
  <c r="C52" i="1"/>
  <c r="H42" i="1"/>
  <c r="H14" i="2"/>
  <c r="H15" i="2" s="1"/>
  <c r="L12" i="1"/>
  <c r="F16" i="2"/>
  <c r="H10" i="2"/>
  <c r="F11" i="1"/>
  <c r="C55" i="2"/>
  <c r="J10" i="1"/>
  <c r="C32" i="2"/>
  <c r="L14" i="1"/>
  <c r="C33" i="2"/>
  <c r="C36" i="2"/>
  <c r="C26" i="2"/>
  <c r="C63" i="2"/>
  <c r="H38" i="1"/>
  <c r="H30" i="2"/>
  <c r="C44" i="3"/>
  <c r="H53" i="3"/>
  <c r="C43" i="3"/>
  <c r="J8" i="3"/>
  <c r="L14" i="3"/>
  <c r="F16" i="1"/>
  <c r="F17" i="1" s="1"/>
  <c r="K4" i="1"/>
  <c r="F6" i="1"/>
  <c r="H62" i="2"/>
  <c r="G12" i="2"/>
  <c r="C49" i="2"/>
  <c r="C27" i="2"/>
  <c r="J10" i="3"/>
  <c r="J11" i="3" s="1"/>
  <c r="H49" i="3"/>
  <c r="G5" i="3"/>
  <c r="H14" i="3"/>
  <c r="C53" i="3"/>
  <c r="J16" i="3"/>
  <c r="K4" i="3"/>
  <c r="I8" i="3"/>
  <c r="I9" i="3" s="1"/>
  <c r="H52" i="3"/>
  <c r="H22" i="3"/>
  <c r="F6" i="3"/>
  <c r="H16" i="3"/>
  <c r="I4" i="3"/>
  <c r="F9" i="3"/>
  <c r="I4" i="2"/>
  <c r="F10" i="2"/>
  <c r="F11" i="2" s="1"/>
  <c r="H4" i="2"/>
  <c r="F9" i="2"/>
  <c r="C43" i="1"/>
  <c r="I4" i="1"/>
  <c r="H37" i="1"/>
  <c r="G4" i="1"/>
  <c r="C23" i="1"/>
  <c r="M11" i="2"/>
  <c r="G5" i="1"/>
  <c r="C34" i="1"/>
  <c r="H28" i="1"/>
  <c r="I14" i="1"/>
  <c r="I15" i="1" s="1"/>
  <c r="M14" i="2"/>
  <c r="C25" i="2"/>
  <c r="G5" i="2"/>
  <c r="H51" i="2"/>
  <c r="C37" i="1"/>
  <c r="J14" i="2"/>
  <c r="J8" i="1"/>
  <c r="J9" i="1" s="1"/>
  <c r="C43" i="2"/>
  <c r="K6" i="2"/>
  <c r="H6" i="1"/>
  <c r="J5" i="2"/>
  <c r="H24" i="2"/>
  <c r="H23" i="1"/>
  <c r="I6" i="1"/>
  <c r="H22" i="1"/>
  <c r="C53" i="1"/>
  <c r="H54" i="1"/>
  <c r="H33" i="2"/>
  <c r="H32" i="2"/>
  <c r="H38" i="2"/>
  <c r="H49" i="1"/>
  <c r="C39" i="2"/>
  <c r="H33" i="3"/>
  <c r="H29" i="3"/>
  <c r="L12" i="3"/>
  <c r="G14" i="3"/>
  <c r="J4" i="3"/>
  <c r="J4" i="1"/>
  <c r="J5" i="1" s="1"/>
  <c r="G14" i="2"/>
  <c r="G10" i="2"/>
  <c r="G11" i="2" s="1"/>
  <c r="G14" i="1"/>
  <c r="F14" i="1"/>
  <c r="H6" i="2"/>
  <c r="M8" i="2"/>
  <c r="H25" i="2"/>
  <c r="C39" i="3"/>
  <c r="M17" i="2"/>
  <c r="H17" i="2"/>
  <c r="L9" i="1"/>
  <c r="I13" i="2"/>
  <c r="M5" i="2"/>
  <c r="J15" i="2"/>
  <c r="H19" i="2"/>
  <c r="I9" i="2"/>
  <c r="G13" i="1"/>
  <c r="L19" i="2"/>
  <c r="G19" i="2"/>
  <c r="L5" i="1"/>
  <c r="J11" i="2"/>
  <c r="I7" i="1"/>
  <c r="M7" i="2"/>
  <c r="I5" i="2"/>
  <c r="K13" i="2"/>
  <c r="F7" i="2"/>
  <c r="K11" i="2"/>
  <c r="H5" i="2"/>
  <c r="L13" i="1"/>
  <c r="G11" i="1"/>
  <c r="F15" i="1"/>
  <c r="F13" i="1"/>
  <c r="K11" i="1"/>
  <c r="H13" i="1"/>
  <c r="H11" i="2"/>
  <c r="L11" i="2"/>
  <c r="F15" i="2"/>
  <c r="G17" i="2"/>
  <c r="K9" i="1"/>
  <c r="F17" i="2"/>
  <c r="G9" i="2"/>
  <c r="G15" i="1"/>
  <c r="F19" i="2"/>
  <c r="H11" i="1"/>
  <c r="H17" i="1"/>
  <c r="J17" i="1"/>
  <c r="K9" i="2"/>
  <c r="L5" i="2"/>
  <c r="F7" i="1"/>
  <c r="J11" i="1"/>
  <c r="K17" i="2"/>
  <c r="I9" i="1"/>
  <c r="M15" i="2"/>
  <c r="I19" i="2"/>
  <c r="K13" i="1"/>
  <c r="I5" i="1"/>
  <c r="I7" i="2"/>
  <c r="J9" i="2"/>
  <c r="M13" i="2"/>
  <c r="H7" i="2"/>
  <c r="G15" i="2"/>
  <c r="L13" i="2"/>
  <c r="F13" i="2"/>
  <c r="K5" i="1"/>
  <c r="L15" i="2"/>
  <c r="J7" i="2"/>
  <c r="N18" i="2" l="1"/>
  <c r="O19" i="2"/>
  <c r="N14" i="2"/>
  <c r="O15" i="2"/>
  <c r="O5" i="2"/>
  <c r="N4" i="2"/>
  <c r="M4" i="1"/>
  <c r="N5" i="1"/>
  <c r="O11" i="2"/>
  <c r="N10" i="2"/>
  <c r="N9" i="1"/>
  <c r="M8" i="1"/>
  <c r="G15" i="3"/>
  <c r="J17" i="3"/>
  <c r="I17" i="1"/>
  <c r="K17" i="3"/>
  <c r="G13" i="3"/>
  <c r="K13" i="3"/>
  <c r="L13" i="3"/>
  <c r="H15" i="3"/>
  <c r="L15" i="3"/>
  <c r="I17" i="2"/>
  <c r="G11" i="3"/>
  <c r="F15" i="3"/>
  <c r="I5" i="3"/>
  <c r="L7" i="3"/>
  <c r="L9" i="3"/>
  <c r="H7" i="1"/>
  <c r="J9" i="3"/>
  <c r="K7" i="2"/>
  <c r="H17" i="3"/>
  <c r="L15" i="1"/>
  <c r="H5" i="3"/>
  <c r="H15" i="1"/>
  <c r="F11" i="3"/>
  <c r="K7" i="1"/>
  <c r="K7" i="3"/>
  <c r="H11" i="3"/>
  <c r="M9" i="2"/>
  <c r="F7" i="3"/>
  <c r="G13" i="2"/>
  <c r="H7" i="3"/>
  <c r="K17" i="1"/>
  <c r="K9" i="3"/>
  <c r="L11" i="3"/>
  <c r="I13" i="1"/>
  <c r="K5" i="3"/>
  <c r="L11" i="1"/>
  <c r="I7" i="3"/>
  <c r="H13" i="3"/>
  <c r="G17" i="3"/>
  <c r="I13" i="3"/>
  <c r="J5" i="3"/>
  <c r="L5" i="3"/>
  <c r="H13" i="2"/>
  <c r="I17" i="3"/>
  <c r="M16" i="3" l="1"/>
  <c r="N17" i="3"/>
  <c r="M10" i="1"/>
  <c r="N11" i="1"/>
  <c r="N13" i="1"/>
  <c r="M12" i="1"/>
  <c r="N12" i="2"/>
  <c r="O13" i="2"/>
  <c r="N7" i="3"/>
  <c r="M6" i="3"/>
  <c r="N8" i="2"/>
  <c r="O9" i="2"/>
  <c r="N11" i="3"/>
  <c r="M10" i="3"/>
  <c r="M14" i="1"/>
  <c r="N15" i="1"/>
  <c r="M4" i="3"/>
  <c r="N5" i="3"/>
  <c r="O7" i="2"/>
  <c r="N6" i="2"/>
  <c r="M8" i="3"/>
  <c r="N9" i="3"/>
  <c r="M6" i="1"/>
  <c r="N7" i="1"/>
  <c r="N15" i="3"/>
  <c r="M14" i="3"/>
  <c r="N16" i="2"/>
  <c r="O17" i="2"/>
  <c r="N13" i="3"/>
  <c r="M12" i="3"/>
  <c r="N17" i="1"/>
  <c r="M16" i="1"/>
</calcChain>
</file>

<file path=xl/sharedStrings.xml><?xml version="1.0" encoding="utf-8"?>
<sst xmlns="http://schemas.openxmlformats.org/spreadsheetml/2006/main" count="227" uniqueCount="62">
  <si>
    <t>Команда</t>
  </si>
  <si>
    <t>победы</t>
  </si>
  <si>
    <t>доп</t>
  </si>
  <si>
    <t>место</t>
  </si>
  <si>
    <t>Тур 1</t>
  </si>
  <si>
    <t>дор.</t>
  </si>
  <si>
    <t>Тур 2</t>
  </si>
  <si>
    <t>Тур 3</t>
  </si>
  <si>
    <t>Тур 4</t>
  </si>
  <si>
    <t>Тур 5</t>
  </si>
  <si>
    <t>Тур 6</t>
  </si>
  <si>
    <t>Тур 7</t>
  </si>
  <si>
    <t>Открытый региональный турнир "Железный шар-2024" (петанк, мужчины), г.Железноводск, 14 сентября 2024 года</t>
  </si>
  <si>
    <t>Капран-Индаяти Сергей</t>
  </si>
  <si>
    <t>Овчинников Тимофей</t>
  </si>
  <si>
    <t>Нечаев Максим</t>
  </si>
  <si>
    <t>Пиманов Николай</t>
  </si>
  <si>
    <t>Лукин Сергей</t>
  </si>
  <si>
    <t>Ерёмин Павел</t>
  </si>
  <si>
    <t>Валибуз Пьер</t>
  </si>
  <si>
    <t>Борисенко Дмитрий</t>
  </si>
  <si>
    <t>Главный судья                _______________________________ С.В.Капран-Индаяти</t>
  </si>
  <si>
    <t>Главный секретарь      _______________________________ М.А.Нечаев</t>
  </si>
  <si>
    <t>Фёдорова Анна</t>
  </si>
  <si>
    <t>Лебедева Ольга</t>
  </si>
  <si>
    <t>Кукушкина Галина</t>
  </si>
  <si>
    <t>Пилипенко Ирина</t>
  </si>
  <si>
    <t>Цепелева Татьяна</t>
  </si>
  <si>
    <t>Кочетова Валерия</t>
  </si>
  <si>
    <t>Валибуз Ирина</t>
  </si>
  <si>
    <t>2/0</t>
  </si>
  <si>
    <t>0/2</t>
  </si>
  <si>
    <t>1/1</t>
  </si>
  <si>
    <t>Капран-Индаяти, Маркина</t>
  </si>
  <si>
    <t>Лукин, Лукина</t>
  </si>
  <si>
    <t>Нечаев, Кочетова</t>
  </si>
  <si>
    <t>Федорова, Пилипенко</t>
  </si>
  <si>
    <t>Лебедева, Кукушкина</t>
  </si>
  <si>
    <t>Валибуз П., Валибуз И.</t>
  </si>
  <si>
    <t>Еремин, Цепелева</t>
  </si>
  <si>
    <t>1/0</t>
  </si>
  <si>
    <t>0/1</t>
  </si>
  <si>
    <t>РФСОО "Всероссийская федерация боулспорта"</t>
  </si>
  <si>
    <t>Место</t>
  </si>
  <si>
    <t>ФИО</t>
  </si>
  <si>
    <t>Регион</t>
  </si>
  <si>
    <t>Очки Гран-При России по петанку</t>
  </si>
  <si>
    <t>Ставропольский край</t>
  </si>
  <si>
    <t>Краснодарский край</t>
  </si>
  <si>
    <t>Санкт-Петербург</t>
  </si>
  <si>
    <t>Главный судья          ____________        С.В.Капран-Индаяти</t>
  </si>
  <si>
    <t>Волгоградская область</t>
  </si>
  <si>
    <t>Открытый региональный турнир "Железный шар-2024" (петанк, женщины), г.Железноводск, 14 сентября 2024 года</t>
  </si>
  <si>
    <t>ИТОГОВЫЙ ПРОТОКОЛ
Открытый региональный турнир "Железный шар-2024" (петанк, мужчины), г.Железноводск, 14 сентября 2024 года</t>
  </si>
  <si>
    <t>Москва</t>
  </si>
  <si>
    <t>Главный секретарь  ____________        М.А.Нечаев</t>
  </si>
  <si>
    <t>ИТОГОВЫЙ ПРОТОКОЛ
Открытый региональный турнир "Железный шар-2024" (петанк, женщины), г.Железноводск, 14 сентября 2024 года</t>
  </si>
  <si>
    <t>Волгоградскя область</t>
  </si>
  <si>
    <t>Кубок ВФБ по боулспорту (петанк-двойка-смешанная), г.Железноводск,                                 15 сентября 2024 года</t>
  </si>
  <si>
    <t>Маркина Елена</t>
  </si>
  <si>
    <t>Лукина Лариса</t>
  </si>
  <si>
    <t>ИТОГОВЫЙ ПРОТОКОЛ                                                                       Кубок ВФБ по боулспорту                                        (петанк-двойка-смешанная),                        г.Железноводск, 15 сентября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</si>
</sst>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+##;\-##;0"/>
    <numFmt numFmtId="165" formatCode="\+##;\-##"/>
  </numFmts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8"/>
      <color indexed="8"/>
      <name val="Calibri Light"/>
      <family val="1"/>
      <charset val="204"/>
      <scheme val="major"/>
    </font>
    <font>
      <sz val="16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22"/>
      <color indexed="8"/>
      <name val="Cambria"/>
      <family val="1"/>
      <charset val="204"/>
    </font>
    <font>
      <b/>
      <sz val="20"/>
      <color indexed="8"/>
      <name val="Cambria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3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center" vertical="center"/>
    </xf>
    <xf numFmtId="165" fontId="3" fillId="2" borderId="20" xfId="0" applyNumberFormat="1" applyFont="1" applyFill="1" applyBorder="1" applyAlignment="1">
      <alignment horizontal="center" vertical="center"/>
    </xf>
    <xf numFmtId="164" fontId="3" fillId="0" borderId="21" xfId="0" applyNumberFormat="1" applyFont="1" applyBorder="1" applyAlignment="1">
      <alignment horizontal="center" vertical="center"/>
    </xf>
    <xf numFmtId="164" fontId="3" fillId="0" borderId="17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164" fontId="3" fillId="0" borderId="20" xfId="0" applyNumberFormat="1" applyFont="1" applyBorder="1" applyAlignment="1">
      <alignment horizontal="center" vertical="center"/>
    </xf>
    <xf numFmtId="165" fontId="3" fillId="2" borderId="21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165" fontId="3" fillId="2" borderId="17" xfId="0" applyNumberFormat="1" applyFont="1" applyFill="1" applyBorder="1" applyAlignment="1">
      <alignment horizontal="center" vertical="center"/>
    </xf>
    <xf numFmtId="165" fontId="3" fillId="0" borderId="22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164" fontId="3" fillId="0" borderId="30" xfId="0" applyNumberFormat="1" applyFont="1" applyBorder="1" applyAlignment="1">
      <alignment horizontal="center" vertical="center"/>
    </xf>
    <xf numFmtId="164" fontId="3" fillId="0" borderId="36" xfId="0" applyNumberFormat="1" applyFont="1" applyBorder="1" applyAlignment="1">
      <alignment horizontal="center" vertical="center"/>
    </xf>
    <xf numFmtId="164" fontId="3" fillId="0" borderId="37" xfId="0" applyNumberFormat="1" applyFont="1" applyBorder="1" applyAlignment="1">
      <alignment horizontal="center" vertical="center"/>
    </xf>
    <xf numFmtId="165" fontId="3" fillId="0" borderId="33" xfId="0" applyNumberFormat="1" applyFont="1" applyBorder="1" applyAlignment="1">
      <alignment horizontal="center" vertical="center"/>
    </xf>
    <xf numFmtId="165" fontId="3" fillId="2" borderId="38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0" fillId="0" borderId="0" xfId="0" applyAlignment="1">
      <alignment horizontal="right" inden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165" fontId="3" fillId="0" borderId="17" xfId="0" applyNumberFormat="1" applyFont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164" fontId="3" fillId="0" borderId="24" xfId="0" applyNumberFormat="1" applyFont="1" applyBorder="1" applyAlignment="1">
      <alignment horizontal="center" vertical="center"/>
    </xf>
    <xf numFmtId="164" fontId="3" fillId="0" borderId="46" xfId="0" applyNumberFormat="1" applyFont="1" applyBorder="1" applyAlignment="1">
      <alignment horizontal="center" vertical="center"/>
    </xf>
    <xf numFmtId="165" fontId="3" fillId="0" borderId="43" xfId="0" applyNumberFormat="1" applyFont="1" applyBorder="1" applyAlignment="1">
      <alignment horizontal="center" vertical="center"/>
    </xf>
    <xf numFmtId="165" fontId="3" fillId="2" borderId="43" xfId="0" applyNumberFormat="1" applyFont="1" applyFill="1" applyBorder="1" applyAlignment="1">
      <alignment horizontal="center" vertical="center"/>
    </xf>
    <xf numFmtId="165" fontId="3" fillId="0" borderId="25" xfId="0" applyNumberFormat="1" applyFont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/>
    <xf numFmtId="49" fontId="3" fillId="0" borderId="21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7" fillId="0" borderId="0" xfId="0" applyFont="1"/>
    <xf numFmtId="0" fontId="8" fillId="0" borderId="0" xfId="0" applyFont="1"/>
    <xf numFmtId="0" fontId="0" fillId="0" borderId="47" xfId="0" applyBorder="1" applyAlignment="1">
      <alignment horizontal="center"/>
    </xf>
    <xf numFmtId="0" fontId="0" fillId="0" borderId="33" xfId="0" applyBorder="1"/>
    <xf numFmtId="0" fontId="9" fillId="0" borderId="36" xfId="0" applyFont="1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17" xfId="0" applyBorder="1"/>
    <xf numFmtId="0" fontId="9" fillId="0" borderId="20" xfId="0" applyFont="1" applyBorder="1" applyAlignment="1">
      <alignment horizont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/>
    <xf numFmtId="0" fontId="13" fillId="0" borderId="21" xfId="1" applyFont="1" applyBorder="1"/>
    <xf numFmtId="0" fontId="13" fillId="0" borderId="21" xfId="1" applyFont="1" applyFill="1" applyBorder="1"/>
    <xf numFmtId="0" fontId="14" fillId="0" borderId="21" xfId="1" applyFont="1" applyBorder="1" applyAlignment="1">
      <alignment vertical="center"/>
    </xf>
    <xf numFmtId="0" fontId="13" fillId="0" borderId="37" xfId="1" applyFont="1" applyBorder="1"/>
    <xf numFmtId="0" fontId="9" fillId="0" borderId="16" xfId="0" applyFont="1" applyBorder="1" applyAlignment="1">
      <alignment horizontal="center"/>
    </xf>
    <xf numFmtId="0" fontId="13" fillId="0" borderId="30" xfId="1" applyFont="1" applyBorder="1"/>
    <xf numFmtId="0" fontId="9" fillId="0" borderId="8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40" xfId="0" applyFont="1" applyBorder="1" applyAlignment="1">
      <alignment horizontal="center"/>
    </xf>
    <xf numFmtId="0" fontId="0" fillId="0" borderId="27" xfId="0" applyBorder="1"/>
    <xf numFmtId="0" fontId="0" fillId="0" borderId="51" xfId="0" applyBorder="1" applyAlignment="1">
      <alignment horizontal="center"/>
    </xf>
    <xf numFmtId="0" fontId="13" fillId="0" borderId="0" xfId="1" applyFont="1" applyFill="1" applyBorder="1"/>
    <xf numFmtId="0" fontId="9" fillId="0" borderId="24" xfId="0" applyFont="1" applyBorder="1" applyAlignment="1">
      <alignment horizontal="center"/>
    </xf>
    <xf numFmtId="0" fontId="9" fillId="0" borderId="36" xfId="0" applyFont="1" applyFill="1" applyBorder="1" applyAlignment="1">
      <alignment horizontal="center"/>
    </xf>
    <xf numFmtId="0" fontId="13" fillId="0" borderId="37" xfId="1" applyFont="1" applyFill="1" applyBorder="1"/>
    <xf numFmtId="0" fontId="9" fillId="0" borderId="0" xfId="0" applyFont="1" applyFill="1" applyBorder="1" applyAlignment="1">
      <alignment horizontal="center"/>
    </xf>
    <xf numFmtId="0" fontId="0" fillId="0" borderId="0" xfId="0" applyBorder="1"/>
    <xf numFmtId="0" fontId="12" fillId="0" borderId="0" xfId="1" applyFill="1" applyBorder="1" applyAlignment="1">
      <alignment horizontal="center" vertical="center"/>
    </xf>
    <xf numFmtId="0" fontId="13" fillId="0" borderId="14" xfId="1" applyFont="1" applyBorder="1"/>
    <xf numFmtId="0" fontId="12" fillId="0" borderId="49" xfId="1" applyFill="1" applyBorder="1" applyAlignment="1">
      <alignment horizontal="center" vertical="center"/>
    </xf>
    <xf numFmtId="0" fontId="12" fillId="0" borderId="48" xfId="1" applyFill="1" applyBorder="1" applyAlignment="1">
      <alignment horizontal="center" vertical="center"/>
    </xf>
    <xf numFmtId="0" fontId="12" fillId="0" borderId="47" xfId="1" applyFill="1" applyBorder="1" applyAlignment="1">
      <alignment horizontal="center" vertical="center"/>
    </xf>
    <xf numFmtId="0" fontId="0" fillId="0" borderId="14" xfId="0" applyBorder="1"/>
    <xf numFmtId="0" fontId="0" fillId="0" borderId="38" xfId="0" applyBorder="1"/>
    <xf numFmtId="0" fontId="2" fillId="0" borderId="7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 indent="1"/>
    </xf>
    <xf numFmtId="0" fontId="2" fillId="0" borderId="11" xfId="0" applyFont="1" applyBorder="1" applyAlignment="1">
      <alignment horizontal="left" vertical="center" wrapText="1" indent="1"/>
    </xf>
    <xf numFmtId="0" fontId="2" fillId="0" borderId="12" xfId="0" applyFont="1" applyBorder="1" applyAlignment="1">
      <alignment horizontal="left" vertical="center" wrapText="1" indent="1"/>
    </xf>
    <xf numFmtId="0" fontId="2" fillId="0" borderId="17" xfId="0" applyFont="1" applyBorder="1" applyAlignment="1">
      <alignment horizontal="left" vertical="center" wrapText="1" indent="1"/>
    </xf>
    <xf numFmtId="0" fontId="2" fillId="0" borderId="18" xfId="0" applyFont="1" applyBorder="1" applyAlignment="1">
      <alignment horizontal="left" vertical="center" wrapText="1" indent="1"/>
    </xf>
    <xf numFmtId="0" fontId="2" fillId="0" borderId="19" xfId="0" applyFont="1" applyBorder="1" applyAlignment="1">
      <alignment horizontal="left" vertical="center" wrapText="1" indent="1"/>
    </xf>
    <xf numFmtId="0" fontId="2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27" xfId="0" applyFont="1" applyBorder="1" applyAlignment="1">
      <alignment horizontal="left" vertical="center" wrapText="1" indent="1"/>
    </xf>
    <xf numFmtId="0" fontId="2" fillId="0" borderId="28" xfId="0" applyFont="1" applyBorder="1" applyAlignment="1">
      <alignment horizontal="left" vertical="center" wrapText="1" indent="1"/>
    </xf>
    <xf numFmtId="0" fontId="2" fillId="0" borderId="29" xfId="0" applyFont="1" applyBorder="1" applyAlignment="1">
      <alignment horizontal="left" vertical="center" wrapText="1" indent="1"/>
    </xf>
    <xf numFmtId="0" fontId="2" fillId="0" borderId="43" xfId="0" applyFont="1" applyBorder="1" applyAlignment="1">
      <alignment horizontal="left" vertical="center" wrapText="1" indent="1"/>
    </xf>
    <xf numFmtId="0" fontId="2" fillId="0" borderId="44" xfId="0" applyFont="1" applyBorder="1" applyAlignment="1">
      <alignment horizontal="left" vertical="center" wrapText="1" indent="1"/>
    </xf>
    <xf numFmtId="0" fontId="2" fillId="0" borderId="45" xfId="0" applyFont="1" applyBorder="1" applyAlignment="1">
      <alignment horizontal="left" vertical="center" wrapText="1" indent="1"/>
    </xf>
    <xf numFmtId="0" fontId="2" fillId="0" borderId="24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32" xfId="0" applyBorder="1" applyAlignment="1">
      <alignment horizontal="center" vertical="center"/>
    </xf>
    <xf numFmtId="0" fontId="2" fillId="0" borderId="33" xfId="0" applyFont="1" applyBorder="1" applyAlignment="1">
      <alignment horizontal="left" vertical="center" wrapText="1" indent="1"/>
    </xf>
    <xf numFmtId="0" fontId="2" fillId="0" borderId="34" xfId="0" applyFont="1" applyBorder="1" applyAlignment="1">
      <alignment horizontal="left" vertical="center" wrapText="1" indent="1"/>
    </xf>
    <xf numFmtId="0" fontId="2" fillId="0" borderId="35" xfId="0" applyFont="1" applyBorder="1" applyAlignment="1">
      <alignment horizontal="left" vertical="center" wrapText="1" indent="1"/>
    </xf>
    <xf numFmtId="0" fontId="2" fillId="0" borderId="36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11" fillId="0" borderId="0" xfId="0" applyFont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 xr:uid="{B28422FE-A14C-4A2A-9CBB-E576888317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55C41-9931-4168-8E6E-FE790232F85E}">
  <sheetPr>
    <pageSetUpPr fitToPage="1"/>
  </sheetPr>
  <dimension ref="A1:P69"/>
  <sheetViews>
    <sheetView topLeftCell="A56" workbookViewId="0">
      <selection activeCell="B1" sqref="B1:P1"/>
    </sheetView>
  </sheetViews>
  <sheetFormatPr defaultRowHeight="15" x14ac:dyDescent="0.25"/>
  <cols>
    <col min="1" max="1" width="4" style="41" customWidth="1"/>
    <col min="2" max="15" width="10.28515625" customWidth="1"/>
  </cols>
  <sheetData>
    <row r="1" spans="2:16" customFormat="1" ht="59.25" customHeight="1" x14ac:dyDescent="0.25">
      <c r="B1" s="94" t="s">
        <v>12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</row>
    <row r="2" spans="2:16" customFormat="1" ht="15.75" thickBot="1" x14ac:dyDescent="0.3"/>
    <row r="3" spans="2:16" customFormat="1" ht="30" customHeight="1" thickBot="1" x14ac:dyDescent="0.3">
      <c r="B3" s="1"/>
      <c r="C3" s="96" t="s">
        <v>0</v>
      </c>
      <c r="D3" s="97"/>
      <c r="E3" s="98"/>
      <c r="F3" s="2">
        <v>1</v>
      </c>
      <c r="G3" s="2">
        <v>2</v>
      </c>
      <c r="H3" s="2">
        <v>3</v>
      </c>
      <c r="I3" s="3">
        <v>4</v>
      </c>
      <c r="J3" s="3">
        <v>5</v>
      </c>
      <c r="K3" s="3">
        <v>6</v>
      </c>
      <c r="L3" s="3">
        <v>7</v>
      </c>
      <c r="M3" s="6">
        <v>8</v>
      </c>
      <c r="N3" s="5" t="s">
        <v>1</v>
      </c>
      <c r="O3" s="2" t="s">
        <v>2</v>
      </c>
      <c r="P3" s="6" t="s">
        <v>3</v>
      </c>
    </row>
    <row r="4" spans="2:16" customFormat="1" ht="24" customHeight="1" x14ac:dyDescent="0.25">
      <c r="B4" s="99">
        <v>1</v>
      </c>
      <c r="C4" s="101" t="s">
        <v>13</v>
      </c>
      <c r="D4" s="102"/>
      <c r="E4" s="103"/>
      <c r="F4" s="8"/>
      <c r="G4" s="9" t="str">
        <f ca="1">INDIRECT(ADDRESS(33,6))&amp;":"&amp;INDIRECT(ADDRESS(33,7))</f>
        <v>13:3</v>
      </c>
      <c r="H4" s="9" t="str">
        <f ca="1">INDIRECT(ADDRESS(37,7))&amp;":"&amp;INDIRECT(ADDRESS(37,6))</f>
        <v>13:2</v>
      </c>
      <c r="I4" s="9" t="str">
        <f ca="1">INDIRECT(ADDRESS(44,6))&amp;":"&amp;INDIRECT(ADDRESS(44,7))</f>
        <v>4:13</v>
      </c>
      <c r="J4" s="9" t="str">
        <f ca="1">INDIRECT(ADDRESS(50,7))&amp;":"&amp;INDIRECT(ADDRESS(50,6))</f>
        <v>13:10</v>
      </c>
      <c r="K4" s="10" t="str">
        <f ca="1">INDIRECT(ADDRESS(55,6))&amp;":"&amp;INDIRECT(ADDRESS(55,7))</f>
        <v>7:13</v>
      </c>
      <c r="L4" s="10" t="str">
        <f ca="1">INDIRECT(ADDRESS(63,7))&amp;":"&amp;INDIRECT(ADDRESS(63,6))</f>
        <v>13:9</v>
      </c>
      <c r="M4" s="42" t="str">
        <f ca="1">INDIRECT(ADDRESS(24,6))&amp;":"&amp;INDIRECT(ADDRESS(24,7))</f>
        <v>11:13</v>
      </c>
      <c r="N4" s="107">
        <f ca="1">IF(COUNT(F5:M5)=0,"",COUNTIF(F5:M5,"&gt;0")+0.5*COUNTIF(F5:M5,0))</f>
        <v>4</v>
      </c>
      <c r="O4" s="12" t="s">
        <v>30</v>
      </c>
      <c r="P4" s="92">
        <v>3</v>
      </c>
    </row>
    <row r="5" spans="2:16" customFormat="1" ht="24" customHeight="1" x14ac:dyDescent="0.25">
      <c r="B5" s="100"/>
      <c r="C5" s="104"/>
      <c r="D5" s="105"/>
      <c r="E5" s="106"/>
      <c r="F5" s="13"/>
      <c r="G5" s="14">
        <f ca="1">IF(LEN(INDIRECT(ADDRESS(ROW()-1, COLUMN())))=1,"",INDIRECT(ADDRESS(33,6))-INDIRECT(ADDRESS(33,7)))</f>
        <v>10</v>
      </c>
      <c r="H5" s="14">
        <f ca="1">IF(LEN(INDIRECT(ADDRESS(ROW()-1, COLUMN())))=1,"",INDIRECT(ADDRESS(37,7))-INDIRECT(ADDRESS(37,6)))</f>
        <v>11</v>
      </c>
      <c r="I5" s="14">
        <f ca="1">IF(LEN(INDIRECT(ADDRESS(ROW()-1, COLUMN())))=1,"",INDIRECT(ADDRESS(44,6))-INDIRECT(ADDRESS(44,7)))</f>
        <v>-9</v>
      </c>
      <c r="J5" s="14">
        <f ca="1">IF(LEN(INDIRECT(ADDRESS(ROW()-1, COLUMN())))=1,"",INDIRECT(ADDRESS(50,7))-INDIRECT(ADDRESS(50,6)))</f>
        <v>3</v>
      </c>
      <c r="K5" s="15" t="str">
        <f ca="1">IF(LEN(INDIRECT(ADDRESS(ROW()-1, COLUMN(B1))))=1,"",INDIRECT(ADDRESS(55,6))-INDIRECT(ADDRESS(55,7)))</f>
        <v/>
      </c>
      <c r="L5" s="15">
        <f ca="1">IF(LEN(INDIRECT(ADDRESS(ROW()-1, COLUMN())))=1,"",INDIRECT(ADDRESS(63,7))-INDIRECT(ADDRESS(63,6)))</f>
        <v>4</v>
      </c>
      <c r="M5" s="16">
        <f ca="1">IF(LEN(INDIRECT(ADDRESS(ROW()-1, COLUMN())))=1,"",INDIRECT(ADDRESS(24,6))-INDIRECT(ADDRESS(24,7)))</f>
        <v>-2</v>
      </c>
      <c r="N5" s="108"/>
      <c r="O5" s="14">
        <f ca="1">IF(COUNT(F5:M5)=0,"",SUM(F5:M5))</f>
        <v>17</v>
      </c>
      <c r="P5" s="93"/>
    </row>
    <row r="6" spans="2:16" customFormat="1" ht="24" customHeight="1" x14ac:dyDescent="0.25">
      <c r="B6" s="109">
        <v>2</v>
      </c>
      <c r="C6" s="104" t="s">
        <v>14</v>
      </c>
      <c r="D6" s="105"/>
      <c r="E6" s="106"/>
      <c r="F6" s="17" t="str">
        <f ca="1">INDIRECT(ADDRESS(33,7))&amp;":"&amp;INDIRECT(ADDRESS(33,6))</f>
        <v>3:13</v>
      </c>
      <c r="G6" s="18"/>
      <c r="H6" s="19" t="str">
        <f ca="1">INDIRECT(ADDRESS(45,6))&amp;":"&amp;INDIRECT(ADDRESS(45,7))</f>
        <v>5:13</v>
      </c>
      <c r="I6" s="19" t="str">
        <f ca="1">INDIRECT(ADDRESS(49,7))&amp;":"&amp;INDIRECT(ADDRESS(49,6))</f>
        <v>4:13</v>
      </c>
      <c r="J6" s="19" t="str">
        <f ca="1">INDIRECT(ADDRESS(56,6))&amp;":"&amp;INDIRECT(ADDRESS(56,7))</f>
        <v>3:13</v>
      </c>
      <c r="K6" s="20" t="str">
        <f ca="1">INDIRECT(ADDRESS(62,7))&amp;":"&amp;INDIRECT(ADDRESS(62,6))</f>
        <v>5:13</v>
      </c>
      <c r="L6" s="20" t="str">
        <f ca="1">INDIRECT(ADDRESS(25,6))&amp;":"&amp;INDIRECT(ADDRESS(25,7))</f>
        <v>8:13</v>
      </c>
      <c r="M6" s="21" t="str">
        <f ca="1">INDIRECT(ADDRESS(36,6))&amp;":"&amp;INDIRECT(ADDRESS(36,7))</f>
        <v>5:13</v>
      </c>
      <c r="N6" s="108">
        <f ca="1">IF(COUNT(F7:M7)=0,"",COUNTIF(F7:M7,"&gt;0")+0.5*COUNTIF(F7:M7,0))</f>
        <v>0</v>
      </c>
      <c r="O6" s="14"/>
      <c r="P6" s="110">
        <v>8</v>
      </c>
    </row>
    <row r="7" spans="2:16" customFormat="1" ht="24" customHeight="1" x14ac:dyDescent="0.25">
      <c r="B7" s="100"/>
      <c r="C7" s="104"/>
      <c r="D7" s="105"/>
      <c r="E7" s="106"/>
      <c r="F7" s="22">
        <f ca="1">IF(LEN(INDIRECT(ADDRESS(ROW()-1, COLUMN())))=1,"",INDIRECT(ADDRESS(33,7))-INDIRECT(ADDRESS(33,6)))</f>
        <v>-10</v>
      </c>
      <c r="G7" s="23"/>
      <c r="H7" s="14">
        <f ca="1">IF(LEN(INDIRECT(ADDRESS(ROW()-1, COLUMN())))=1,"",INDIRECT(ADDRESS(45,6))-INDIRECT(ADDRESS(45,7)))</f>
        <v>-8</v>
      </c>
      <c r="I7" s="14">
        <f ca="1">IF(LEN(INDIRECT(ADDRESS(ROW()-1, COLUMN())))=1,"",INDIRECT(ADDRESS(49,7))-INDIRECT(ADDRESS(49,6)))</f>
        <v>-9</v>
      </c>
      <c r="J7" s="14">
        <f ca="1">IF(LEN(INDIRECT(ADDRESS(ROW()-1, COLUMN())))=1,"",INDIRECT(ADDRESS(56,6))-INDIRECT(ADDRESS(56,7)))</f>
        <v>-10</v>
      </c>
      <c r="K7" s="15">
        <f ca="1">IF(LEN(INDIRECT(ADDRESS(ROW()-1, COLUMN())))=1,"",INDIRECT(ADDRESS(62,7))-INDIRECT(ADDRESS(62,6)))</f>
        <v>-8</v>
      </c>
      <c r="L7" s="15">
        <f ca="1">IF(LEN(INDIRECT(ADDRESS(ROW()-1, COLUMN())))=1,"",INDIRECT(ADDRESS(25,6))-INDIRECT(ADDRESS(25,7)))</f>
        <v>-5</v>
      </c>
      <c r="M7" s="16">
        <f ca="1">IF(LEN(INDIRECT(ADDRESS(ROW()-1, COLUMN())))=1,"",INDIRECT(ADDRESS(36,6))-INDIRECT(ADDRESS(36,7)))</f>
        <v>-8</v>
      </c>
      <c r="N7" s="108"/>
      <c r="O7" s="14">
        <f ca="1">IF(COUNT(F7:M7)=0,"",SUM(F7:M7))</f>
        <v>-58</v>
      </c>
      <c r="P7" s="93"/>
    </row>
    <row r="8" spans="2:16" customFormat="1" ht="24" customHeight="1" x14ac:dyDescent="0.25">
      <c r="B8" s="109">
        <v>3</v>
      </c>
      <c r="C8" s="104" t="s">
        <v>15</v>
      </c>
      <c r="D8" s="105"/>
      <c r="E8" s="106"/>
      <c r="F8" s="17" t="str">
        <f ca="1">INDIRECT(ADDRESS(37,6))&amp;":"&amp;INDIRECT(ADDRESS(37,7))</f>
        <v>2:13</v>
      </c>
      <c r="G8" s="19" t="str">
        <f ca="1">INDIRECT(ADDRESS(45,7))&amp;":"&amp;INDIRECT(ADDRESS(45,6))</f>
        <v>13:5</v>
      </c>
      <c r="H8" s="18"/>
      <c r="I8" s="19" t="str">
        <f ca="1">INDIRECT(ADDRESS(57,6))&amp;":"&amp;INDIRECT(ADDRESS(57,7))</f>
        <v>13:7</v>
      </c>
      <c r="J8" s="19" t="str">
        <f ca="1">INDIRECT(ADDRESS(61,7))&amp;":"&amp;INDIRECT(ADDRESS(61,6))</f>
        <v>8:13</v>
      </c>
      <c r="K8" s="20" t="str">
        <f ca="1">INDIRECT(ADDRESS(26,6))&amp;":"&amp;INDIRECT(ADDRESS(26,7))</f>
        <v>2:13</v>
      </c>
      <c r="L8" s="20" t="str">
        <f ca="1">INDIRECT(ADDRESS(32,7))&amp;":"&amp;INDIRECT(ADDRESS(32,6))</f>
        <v>13:12</v>
      </c>
      <c r="M8" s="21" t="str">
        <f ca="1">INDIRECT(ADDRESS(48,6))&amp;":"&amp;INDIRECT(ADDRESS(48,7))</f>
        <v>12:8</v>
      </c>
      <c r="N8" s="108">
        <f ca="1">IF(COUNT(F9:M9)=0,"",COUNTIF(F9:M9,"&gt;0")+0.5*COUNTIF(F9:M9,0))</f>
        <v>4</v>
      </c>
      <c r="O8" s="14" t="s">
        <v>31</v>
      </c>
      <c r="P8" s="110">
        <v>5</v>
      </c>
    </row>
    <row r="9" spans="2:16" customFormat="1" ht="24" customHeight="1" x14ac:dyDescent="0.25">
      <c r="B9" s="100"/>
      <c r="C9" s="104"/>
      <c r="D9" s="105"/>
      <c r="E9" s="106"/>
      <c r="F9" s="22">
        <f ca="1">IF(LEN(INDIRECT(ADDRESS(ROW()-1, COLUMN())))=1,"",INDIRECT(ADDRESS(37,6))-INDIRECT(ADDRESS(37,7)))</f>
        <v>-11</v>
      </c>
      <c r="G9" s="14">
        <f ca="1">IF(LEN(INDIRECT(ADDRESS(ROW()-1, COLUMN())))=1,"",INDIRECT(ADDRESS(45,7))-INDIRECT(ADDRESS(45,6)))</f>
        <v>8</v>
      </c>
      <c r="H9" s="23"/>
      <c r="I9" s="14">
        <f ca="1">IF(LEN(INDIRECT(ADDRESS(ROW()-1, COLUMN())))=1,"",INDIRECT(ADDRESS(57,6))-INDIRECT(ADDRESS(57,7)))</f>
        <v>6</v>
      </c>
      <c r="J9" s="14">
        <f ca="1">IF(LEN(INDIRECT(ADDRESS(ROW()-1, COLUMN())))=1,"",INDIRECT(ADDRESS(61,7))-INDIRECT(ADDRESS(61,6)))</f>
        <v>-5</v>
      </c>
      <c r="K9" s="15">
        <f ca="1">IF(LEN(INDIRECT(ADDRESS(ROW()-1, COLUMN())))=1,"",INDIRECT(ADDRESS(26,6))-INDIRECT(ADDRESS(26,7)))</f>
        <v>-11</v>
      </c>
      <c r="L9" s="15">
        <f ca="1">IF(LEN(INDIRECT(ADDRESS(ROW()-1, COLUMN())))=1,"",INDIRECT(ADDRESS(32,7))-INDIRECT(ADDRESS(32,6)))</f>
        <v>1</v>
      </c>
      <c r="M9" s="16">
        <f ca="1">IF(LEN(INDIRECT(ADDRESS(ROW()-1, COLUMN())))=1,"",INDIRECT(ADDRESS(48,6))-INDIRECT(ADDRESS(48,7)))</f>
        <v>4</v>
      </c>
      <c r="N9" s="108"/>
      <c r="O9" s="14">
        <f ca="1">IF(COUNT(F9:M9)=0,"",SUM(F9:M9))</f>
        <v>-8</v>
      </c>
      <c r="P9" s="93"/>
    </row>
    <row r="10" spans="2:16" customFormat="1" ht="24" customHeight="1" x14ac:dyDescent="0.25">
      <c r="B10" s="109">
        <v>4</v>
      </c>
      <c r="C10" s="104" t="s">
        <v>16</v>
      </c>
      <c r="D10" s="105"/>
      <c r="E10" s="106"/>
      <c r="F10" s="17" t="str">
        <f ca="1">INDIRECT(ADDRESS(44,7))&amp;":"&amp;INDIRECT(ADDRESS(44,6))</f>
        <v>13:4</v>
      </c>
      <c r="G10" s="19" t="str">
        <f ca="1">INDIRECT(ADDRESS(49,6))&amp;":"&amp;INDIRECT(ADDRESS(49,7))</f>
        <v>13:4</v>
      </c>
      <c r="H10" s="19" t="str">
        <f ca="1">INDIRECT(ADDRESS(57,7))&amp;":"&amp;INDIRECT(ADDRESS(57,6))</f>
        <v>7:13</v>
      </c>
      <c r="I10" s="18"/>
      <c r="J10" s="19" t="str">
        <f ca="1">INDIRECT(ADDRESS(27,6))&amp;":"&amp;INDIRECT(ADDRESS(27,7))</f>
        <v>6:13</v>
      </c>
      <c r="K10" s="20" t="str">
        <f ca="1">INDIRECT(ADDRESS(31,7))&amp;":"&amp;INDIRECT(ADDRESS(31,6))</f>
        <v>6:13</v>
      </c>
      <c r="L10" s="20" t="str">
        <f ca="1">INDIRECT(ADDRESS(38,6))&amp;":"&amp;INDIRECT(ADDRESS(38,7))</f>
        <v>13:8</v>
      </c>
      <c r="M10" s="21" t="str">
        <f ca="1">INDIRECT(ADDRESS(60,6))&amp;":"&amp;INDIRECT(ADDRESS(60,7))</f>
        <v>11:13</v>
      </c>
      <c r="N10" s="108">
        <f ca="1">IF(COUNT(F11:M11)=0,"",COUNTIF(F11:M11,"&gt;0")+0.5*COUNTIF(F11:M11,0))</f>
        <v>3</v>
      </c>
      <c r="O10" s="14"/>
      <c r="P10" s="110">
        <v>6</v>
      </c>
    </row>
    <row r="11" spans="2:16" customFormat="1" ht="24" customHeight="1" x14ac:dyDescent="0.25">
      <c r="B11" s="100"/>
      <c r="C11" s="104"/>
      <c r="D11" s="105"/>
      <c r="E11" s="106"/>
      <c r="F11" s="22">
        <f ca="1">IF(LEN(INDIRECT(ADDRESS(ROW()-1, COLUMN())))=1,"",INDIRECT(ADDRESS(44,7))-INDIRECT(ADDRESS(44,6)))</f>
        <v>9</v>
      </c>
      <c r="G11" s="14">
        <f ca="1">IF(LEN(INDIRECT(ADDRESS(ROW()-1, COLUMN())))=1,"",INDIRECT(ADDRESS(49,6))-INDIRECT(ADDRESS(49,7)))</f>
        <v>9</v>
      </c>
      <c r="H11" s="14">
        <f ca="1">IF(LEN(INDIRECT(ADDRESS(ROW()-1, COLUMN())))=1,"",INDIRECT(ADDRESS(57,7))-INDIRECT(ADDRESS(57,6)))</f>
        <v>-6</v>
      </c>
      <c r="I11" s="23"/>
      <c r="J11" s="14">
        <f ca="1">IF(LEN(INDIRECT(ADDRESS(ROW()-1, COLUMN())))=1,"",INDIRECT(ADDRESS(27,6))-INDIRECT(ADDRESS(27,7)))</f>
        <v>-7</v>
      </c>
      <c r="K11" s="15">
        <f ca="1">IF(LEN(INDIRECT(ADDRESS(ROW()-1, COLUMN())))=1,"",INDIRECT(ADDRESS(31,7))-INDIRECT(ADDRESS(31,6)))</f>
        <v>-7</v>
      </c>
      <c r="L11" s="15">
        <f ca="1">IF(LEN(INDIRECT(ADDRESS(ROW()-1, COLUMN())))=1,"",INDIRECT(ADDRESS(38,6))-INDIRECT(ADDRESS(38,7)))</f>
        <v>5</v>
      </c>
      <c r="M11" s="16">
        <f ca="1">IF(LEN(INDIRECT(ADDRESS(ROW()-1, COLUMN())))=1,"",INDIRECT(ADDRESS(60,6))-INDIRECT(ADDRESS(60,7)))</f>
        <v>-2</v>
      </c>
      <c r="N11" s="108"/>
      <c r="O11" s="14">
        <f ca="1">IF(COUNT(F11:M11)=0,"",SUM(F11:M11))</f>
        <v>1</v>
      </c>
      <c r="P11" s="93"/>
    </row>
    <row r="12" spans="2:16" customFormat="1" ht="24" customHeight="1" x14ac:dyDescent="0.25">
      <c r="B12" s="109">
        <v>5</v>
      </c>
      <c r="C12" s="104" t="s">
        <v>17</v>
      </c>
      <c r="D12" s="105"/>
      <c r="E12" s="106"/>
      <c r="F12" s="17" t="str">
        <f ca="1">INDIRECT(ADDRESS(50,6))&amp;":"&amp;INDIRECT(ADDRESS(50,7))</f>
        <v>10:13</v>
      </c>
      <c r="G12" s="19" t="str">
        <f ca="1">INDIRECT(ADDRESS(56,7))&amp;":"&amp;INDIRECT(ADDRESS(56,6))</f>
        <v>13:3</v>
      </c>
      <c r="H12" s="19" t="str">
        <f ca="1">INDIRECT(ADDRESS(61,6))&amp;":"&amp;INDIRECT(ADDRESS(61,7))</f>
        <v>13:8</v>
      </c>
      <c r="I12" s="19" t="str">
        <f ca="1">INDIRECT(ADDRESS(27,7))&amp;":"&amp;INDIRECT(ADDRESS(27,6))</f>
        <v>13:6</v>
      </c>
      <c r="J12" s="18"/>
      <c r="K12" s="20" t="str">
        <f ca="1">INDIRECT(ADDRESS(39,6))&amp;":"&amp;INDIRECT(ADDRESS(39,7))</f>
        <v>10:13</v>
      </c>
      <c r="L12" s="20" t="str">
        <f ca="1">INDIRECT(ADDRESS(43,7))&amp;":"&amp;INDIRECT(ADDRESS(43,6))</f>
        <v>6:13</v>
      </c>
      <c r="M12" s="21" t="str">
        <f ca="1">INDIRECT(ADDRESS(30,7))&amp;":"&amp;INDIRECT(ADDRESS(30,6))</f>
        <v>12:11</v>
      </c>
      <c r="N12" s="108">
        <f ca="1">IF(COUNT(F13:M13)=0,"",COUNTIF(F13:M13,"&gt;0")+0.5*COUNTIF(F13:M13,0))</f>
        <v>4</v>
      </c>
      <c r="O12" s="54" t="s">
        <v>32</v>
      </c>
      <c r="P12" s="110">
        <v>4</v>
      </c>
    </row>
    <row r="13" spans="2:16" customFormat="1" ht="24" customHeight="1" x14ac:dyDescent="0.25">
      <c r="B13" s="100"/>
      <c r="C13" s="104"/>
      <c r="D13" s="105"/>
      <c r="E13" s="106"/>
      <c r="F13" s="22">
        <f ca="1">IF(LEN(INDIRECT(ADDRESS(ROW()-1, COLUMN())))=1,"",INDIRECT(ADDRESS(50,6))-INDIRECT(ADDRESS(50,7)))</f>
        <v>-3</v>
      </c>
      <c r="G13" s="14">
        <f ca="1">IF(LEN(INDIRECT(ADDRESS(ROW()-1, COLUMN())))=1,"",INDIRECT(ADDRESS(56,7))-INDIRECT(ADDRESS(56,6)))</f>
        <v>10</v>
      </c>
      <c r="H13" s="14">
        <f ca="1">IF(LEN(INDIRECT(ADDRESS(ROW()-1, COLUMN())))=1,"",INDIRECT(ADDRESS(61,6))-INDIRECT(ADDRESS(61,7)))</f>
        <v>5</v>
      </c>
      <c r="I13" s="14">
        <f ca="1">IF(LEN(INDIRECT(ADDRESS(ROW()-1, COLUMN())))=1,"",INDIRECT(ADDRESS(27,7))-INDIRECT(ADDRESS(27,6)))</f>
        <v>7</v>
      </c>
      <c r="J13" s="23"/>
      <c r="K13" s="15">
        <f ca="1">IF(LEN(INDIRECT(ADDRESS(ROW()-1, COLUMN())))=1,"",INDIRECT(ADDRESS(39,6))-INDIRECT(ADDRESS(39,7)))</f>
        <v>-3</v>
      </c>
      <c r="L13" s="15">
        <f ca="1">IF(LEN(INDIRECT(ADDRESS(ROW()-1, COLUMN())))=1,"",INDIRECT(ADDRESS(43,7))-INDIRECT(ADDRESS(43,6)))</f>
        <v>-7</v>
      </c>
      <c r="M13" s="16">
        <f ca="1">IF(LEN(INDIRECT(ADDRESS(ROW()-1, COLUMN())))=1,"",INDIRECT(ADDRESS(30,7))-INDIRECT(ADDRESS(30,6)))</f>
        <v>1</v>
      </c>
      <c r="N13" s="108"/>
      <c r="O13" s="14">
        <f ca="1">IF(COUNT(F13:M13)=0,"",SUM(F13:M13))</f>
        <v>10</v>
      </c>
      <c r="P13" s="93"/>
    </row>
    <row r="14" spans="2:16" customFormat="1" ht="24" customHeight="1" x14ac:dyDescent="0.25">
      <c r="B14" s="109">
        <v>6</v>
      </c>
      <c r="C14" s="104" t="s">
        <v>18</v>
      </c>
      <c r="D14" s="105"/>
      <c r="E14" s="106"/>
      <c r="F14" s="17" t="str">
        <f ca="1">INDIRECT(ADDRESS(55,7))&amp;":"&amp;INDIRECT(ADDRESS(55,6))</f>
        <v>13:7</v>
      </c>
      <c r="G14" s="19" t="str">
        <f ca="1">INDIRECT(ADDRESS(62,6))&amp;":"&amp;INDIRECT(ADDRESS(62,7))</f>
        <v>13:5</v>
      </c>
      <c r="H14" s="19" t="str">
        <f ca="1">INDIRECT(ADDRESS(26,7))&amp;":"&amp;INDIRECT(ADDRESS(26,6))</f>
        <v>13:2</v>
      </c>
      <c r="I14" s="19" t="str">
        <f ca="1">INDIRECT(ADDRESS(31,6))&amp;":"&amp;INDIRECT(ADDRESS(31,7))</f>
        <v>13:6</v>
      </c>
      <c r="J14" s="19" t="str">
        <f ca="1">INDIRECT(ADDRESS(39,7))&amp;":"&amp;INDIRECT(ADDRESS(39,6))</f>
        <v>13:10</v>
      </c>
      <c r="K14" s="24"/>
      <c r="L14" s="20" t="str">
        <f ca="1">INDIRECT(ADDRESS(51,6))&amp;":"&amp;INDIRECT(ADDRESS(51,7))</f>
        <v>13:11</v>
      </c>
      <c r="M14" s="21" t="str">
        <f ca="1">INDIRECT(ADDRESS(42,7))&amp;":"&amp;INDIRECT(ADDRESS(42,6))</f>
        <v>7:13</v>
      </c>
      <c r="N14" s="108">
        <f ca="1">IF(COUNT(F15:M15)=0,"",COUNTIF(F15:M15,"&gt;0")+0.5*COUNTIF(F15:M15,0))</f>
        <v>6</v>
      </c>
      <c r="O14" s="14"/>
      <c r="P14" s="110">
        <v>1</v>
      </c>
    </row>
    <row r="15" spans="2:16" customFormat="1" ht="24" customHeight="1" x14ac:dyDescent="0.25">
      <c r="B15" s="100"/>
      <c r="C15" s="104"/>
      <c r="D15" s="105"/>
      <c r="E15" s="106"/>
      <c r="F15" s="22">
        <f ca="1">IF(LEN(INDIRECT(ADDRESS(ROW()-1, COLUMN())))=1,"",INDIRECT(ADDRESS(55,7))-INDIRECT(ADDRESS(55,6)))</f>
        <v>6</v>
      </c>
      <c r="G15" s="14">
        <f ca="1">IF(LEN(INDIRECT(ADDRESS(ROW()-1, COLUMN())))=1,"",INDIRECT(ADDRESS(62,6))-INDIRECT(ADDRESS(62,7)))</f>
        <v>8</v>
      </c>
      <c r="H15" s="14">
        <f ca="1">IF(LEN(INDIRECT(ADDRESS(ROW()-1, COLUMN())))=1,"",INDIRECT(ADDRESS(26,7))-INDIRECT(ADDRESS(26,6)))</f>
        <v>11</v>
      </c>
      <c r="I15" s="14">
        <f ca="1">IF(LEN(INDIRECT(ADDRESS(ROW()-1, COLUMN())))=1,"",INDIRECT(ADDRESS(31,6))-INDIRECT(ADDRESS(31,7)))</f>
        <v>7</v>
      </c>
      <c r="J15" s="14">
        <f ca="1">IF(LEN(INDIRECT(ADDRESS(ROW()-1, COLUMN())))=1,"",INDIRECT(ADDRESS(39,7))-INDIRECT(ADDRESS(39,6)))</f>
        <v>3</v>
      </c>
      <c r="K15" s="25"/>
      <c r="L15" s="43">
        <f ca="1">IF(LEN(INDIRECT(ADDRESS(ROW()-1, COLUMN())))=1,"",INDIRECT(ADDRESS(51,6))-INDIRECT(ADDRESS(51,7)))</f>
        <v>2</v>
      </c>
      <c r="M15" s="26">
        <f ca="1">IF(LEN(INDIRECT(ADDRESS(ROW()-1, COLUMN())))=1,"",INDIRECT(ADDRESS(42,7))-INDIRECT(ADDRESS(42,6)))</f>
        <v>-6</v>
      </c>
      <c r="N15" s="108"/>
      <c r="O15" s="14">
        <f ca="1">IF(COUNT(F15:M15)=0,"",SUM(F15:M15))</f>
        <v>31</v>
      </c>
      <c r="P15" s="93"/>
    </row>
    <row r="16" spans="2:16" customFormat="1" ht="24" customHeight="1" x14ac:dyDescent="0.25">
      <c r="B16" s="111">
        <v>7</v>
      </c>
      <c r="C16" s="112" t="s">
        <v>19</v>
      </c>
      <c r="D16" s="113"/>
      <c r="E16" s="114"/>
      <c r="F16" s="27" t="str">
        <f ca="1">INDIRECT(ADDRESS(63,6))&amp;":"&amp;INDIRECT(ADDRESS(63,7))</f>
        <v>9:13</v>
      </c>
      <c r="G16" s="28" t="str">
        <f ca="1">INDIRECT(ADDRESS(25,7))&amp;":"&amp;INDIRECT(ADDRESS(25,6))</f>
        <v>13:8</v>
      </c>
      <c r="H16" s="28" t="str">
        <f ca="1">INDIRECT(ADDRESS(32,6))&amp;":"&amp;INDIRECT(ADDRESS(32,7))</f>
        <v>12:13</v>
      </c>
      <c r="I16" s="28" t="str">
        <f ca="1">INDIRECT(ADDRESS(38,7))&amp;":"&amp;INDIRECT(ADDRESS(38,6))</f>
        <v>8:13</v>
      </c>
      <c r="J16" s="28" t="str">
        <f ca="1">INDIRECT(ADDRESS(43,6))&amp;":"&amp;INDIRECT(ADDRESS(43,7))</f>
        <v>13:6</v>
      </c>
      <c r="K16" s="29" t="str">
        <f ca="1">INDIRECT(ADDRESS(51,7))&amp;":"&amp;INDIRECT(ADDRESS(51,6))</f>
        <v>11:13</v>
      </c>
      <c r="L16" s="44"/>
      <c r="M16" s="42" t="str">
        <f ca="1">INDIRECT(ADDRESS(54,7))&amp;":"&amp;INDIRECT(ADDRESS(54,6))</f>
        <v>8:13</v>
      </c>
      <c r="N16" s="108">
        <f ca="1">IF(COUNT(F17:M17)=0,"",COUNTIF(F17:M17,"&gt;0")+0.5*COUNTIF(F17:M17,0))</f>
        <v>2</v>
      </c>
      <c r="O16" s="31"/>
      <c r="P16" s="119">
        <v>7</v>
      </c>
    </row>
    <row r="17" spans="2:16" customFormat="1" ht="24" customHeight="1" x14ac:dyDescent="0.25">
      <c r="B17" s="111"/>
      <c r="C17" s="115"/>
      <c r="D17" s="116"/>
      <c r="E17" s="117"/>
      <c r="F17" s="45">
        <f ca="1">IF(LEN(INDIRECT(ADDRESS(ROW()-1, COLUMN())))=1,"",INDIRECT(ADDRESS(63,6))-INDIRECT(ADDRESS(63,7)))</f>
        <v>-4</v>
      </c>
      <c r="G17" s="46">
        <f ca="1">IF(LEN(INDIRECT(ADDRESS(ROW()-1, COLUMN())))=1,"",INDIRECT(ADDRESS(25,7))-INDIRECT(ADDRESS(25,6)))</f>
        <v>5</v>
      </c>
      <c r="H17" s="46">
        <f ca="1">IF(LEN(INDIRECT(ADDRESS(ROW()-1, COLUMN())))=1,"",INDIRECT(ADDRESS(32,6))-INDIRECT(ADDRESS(32,7)))</f>
        <v>-1</v>
      </c>
      <c r="I17" s="46">
        <f ca="1">IF(LEN(INDIRECT(ADDRESS(ROW()-1, COLUMN())))=1,"",INDIRECT(ADDRESS(38,7))-INDIRECT(ADDRESS(38,6)))</f>
        <v>-5</v>
      </c>
      <c r="J17" s="46">
        <f ca="1">IF(LEN(INDIRECT(ADDRESS(ROW()-1, COLUMN())))=1,"",INDIRECT(ADDRESS(43,6))-INDIRECT(ADDRESS(43,7)))</f>
        <v>7</v>
      </c>
      <c r="K17" s="47">
        <f ca="1">IF(LEN(INDIRECT(ADDRESS(ROW()-1, COLUMN())))=1,"",INDIRECT(ADDRESS(51,7))-INDIRECT(ADDRESS(51,6)))</f>
        <v>-2</v>
      </c>
      <c r="L17" s="48"/>
      <c r="M17" s="49">
        <f ca="1">IF(LEN(INDIRECT(ADDRESS(ROW()-1, COLUMN())))=1,"",INDIRECT(ADDRESS(54,7))-INDIRECT(ADDRESS(54,6)))</f>
        <v>-5</v>
      </c>
      <c r="N17" s="118"/>
      <c r="O17" s="46">
        <f ca="1">IF(COUNT(F17:M17)=0,"",SUM(F17:M17))</f>
        <v>-5</v>
      </c>
      <c r="P17" s="119"/>
    </row>
    <row r="18" spans="2:16" customFormat="1" ht="24" customHeight="1" x14ac:dyDescent="0.25">
      <c r="B18" s="109">
        <v>8</v>
      </c>
      <c r="C18" s="104" t="s">
        <v>20</v>
      </c>
      <c r="D18" s="105"/>
      <c r="E18" s="106"/>
      <c r="F18" s="17" t="str">
        <f ca="1">INDIRECT(ADDRESS(24,7))&amp;":"&amp;INDIRECT(ADDRESS(24,6))</f>
        <v>13:11</v>
      </c>
      <c r="G18" s="19" t="str">
        <f ca="1">INDIRECT(ADDRESS(36,7))&amp;":"&amp;INDIRECT(ADDRESS(36,6))</f>
        <v>13:5</v>
      </c>
      <c r="H18" s="19" t="str">
        <f ca="1">INDIRECT(ADDRESS(48,7))&amp;":"&amp;INDIRECT(ADDRESS(48,6))</f>
        <v>8:12</v>
      </c>
      <c r="I18" s="19" t="str">
        <f ca="1">INDIRECT(ADDRESS(60,7))&amp;":"&amp;INDIRECT(ADDRESS(60,6))</f>
        <v>13:11</v>
      </c>
      <c r="J18" s="19" t="str">
        <f ca="1">INDIRECT(ADDRESS(30,6))&amp;":"&amp;INDIRECT(ADDRESS(30,7))</f>
        <v>11:12</v>
      </c>
      <c r="K18" s="20" t="str">
        <f ca="1">INDIRECT(ADDRESS(42,6))&amp;":"&amp;INDIRECT(ADDRESS(42,7))</f>
        <v>13:7</v>
      </c>
      <c r="L18" s="20" t="str">
        <f ca="1">INDIRECT(ADDRESS(54,6))&amp;":"&amp;INDIRECT(ADDRESS(54,7))</f>
        <v>13:8</v>
      </c>
      <c r="M18" s="50"/>
      <c r="N18" s="108">
        <f ca="1">IF(COUNT(F19:M19)=0,"",COUNTIF(F19:M19,"&gt;0")+0.5*COUNTIF(F19:M19,0))</f>
        <v>5</v>
      </c>
      <c r="O18" s="14"/>
      <c r="P18" s="110">
        <v>2</v>
      </c>
    </row>
    <row r="19" spans="2:16" customFormat="1" ht="24" customHeight="1" thickBot="1" x14ac:dyDescent="0.3">
      <c r="B19" s="123"/>
      <c r="C19" s="124"/>
      <c r="D19" s="125"/>
      <c r="E19" s="126"/>
      <c r="F19" s="32">
        <f ca="1">IF(LEN(INDIRECT(ADDRESS(ROW()-1, COLUMN())))=1,"",INDIRECT(ADDRESS(24,7))-INDIRECT(ADDRESS(24,6)))</f>
        <v>2</v>
      </c>
      <c r="G19" s="33">
        <f ca="1">IF(LEN(INDIRECT(ADDRESS(ROW()-1, COLUMN())))=1,"",INDIRECT(ADDRESS(36,7))-INDIRECT(ADDRESS(36,6)))</f>
        <v>8</v>
      </c>
      <c r="H19" s="33">
        <f ca="1">IF(LEN(INDIRECT(ADDRESS(ROW()-1, COLUMN())))=1,"",INDIRECT(ADDRESS(48,7))-INDIRECT(ADDRESS(48,6)))</f>
        <v>-4</v>
      </c>
      <c r="I19" s="33">
        <f ca="1">IF(LEN(INDIRECT(ADDRESS(ROW()-1, COLUMN())))=1,"",INDIRECT(ADDRESS(60,7))-INDIRECT(ADDRESS(60,6)))</f>
        <v>2</v>
      </c>
      <c r="J19" s="33">
        <f ca="1">IF(LEN(INDIRECT(ADDRESS(ROW()-1, COLUMN())))=1,"",INDIRECT(ADDRESS(30,6))-INDIRECT(ADDRESS(30,7)))</f>
        <v>-1</v>
      </c>
      <c r="K19" s="34">
        <f ca="1">IF(LEN(INDIRECT(ADDRESS(ROW()-1, COLUMN())))=1,"",INDIRECT(ADDRESS(42,6))-INDIRECT(ADDRESS(42,7)))</f>
        <v>6</v>
      </c>
      <c r="L19" s="34">
        <f ca="1">IF(LEN(INDIRECT(ADDRESS(ROW()-1, COLUMN())))=1,"",INDIRECT(ADDRESS(54,6))-INDIRECT(ADDRESS(54,7)))</f>
        <v>5</v>
      </c>
      <c r="M19" s="35"/>
      <c r="N19" s="127"/>
      <c r="O19" s="33">
        <f ca="1">IF(COUNT(F19:M19)=0,"",SUM(F19:M19))</f>
        <v>18</v>
      </c>
      <c r="P19" s="128"/>
    </row>
    <row r="20" spans="2:16" customFormat="1" x14ac:dyDescent="0.25"/>
    <row r="21" spans="2:16" customFormat="1" x14ac:dyDescent="0.25"/>
    <row r="22" spans="2:16" customFormat="1" x14ac:dyDescent="0.25"/>
    <row r="23" spans="2:16" customFormat="1" ht="30" customHeight="1" thickBot="1" x14ac:dyDescent="0.3">
      <c r="B23" s="129" t="s">
        <v>4</v>
      </c>
      <c r="C23" s="129"/>
      <c r="D23" s="129"/>
      <c r="E23" s="129"/>
      <c r="F23" s="129"/>
      <c r="G23" s="129"/>
      <c r="H23" s="129"/>
      <c r="I23" s="129"/>
      <c r="J23" s="129"/>
      <c r="K23" s="129"/>
    </row>
    <row r="24" spans="2:16" customFormat="1" ht="30" customHeight="1" thickBot="1" x14ac:dyDescent="0.3">
      <c r="B24" s="36">
        <v>1</v>
      </c>
      <c r="C24" s="120" t="str">
        <f ca="1">IF(ISBLANK(INDIRECT(ADDRESS(B24*2+2,3))),"",INDIRECT(ADDRESS(B24*2+2,3)))</f>
        <v>Капран-Индаяти Сергей</v>
      </c>
      <c r="D24" s="120"/>
      <c r="E24" s="121"/>
      <c r="F24" s="37">
        <v>11</v>
      </c>
      <c r="G24" s="38">
        <v>13</v>
      </c>
      <c r="H24" s="122" t="str">
        <f ca="1">IF(ISBLANK(INDIRECT(ADDRESS(K24*2+2,3))),"",INDIRECT(ADDRESS(K24*2+2,3)))</f>
        <v>Борисенко Дмитрий</v>
      </c>
      <c r="I24" s="120"/>
      <c r="J24" s="120"/>
      <c r="K24" s="36">
        <v>8</v>
      </c>
      <c r="L24" s="39" t="s">
        <v>5</v>
      </c>
      <c r="M24" s="51">
        <v>1</v>
      </c>
    </row>
    <row r="25" spans="2:16" customFormat="1" ht="30" customHeight="1" thickBot="1" x14ac:dyDescent="0.3">
      <c r="B25" s="36">
        <v>2</v>
      </c>
      <c r="C25" s="120" t="str">
        <f ca="1">IF(ISBLANK(INDIRECT(ADDRESS(B25*2+2,3))),"",INDIRECT(ADDRESS(B25*2+2,3)))</f>
        <v>Овчинников Тимофей</v>
      </c>
      <c r="D25" s="120"/>
      <c r="E25" s="121"/>
      <c r="F25" s="37">
        <v>8</v>
      </c>
      <c r="G25" s="38">
        <v>13</v>
      </c>
      <c r="H25" s="122" t="str">
        <f ca="1">IF(ISBLANK(INDIRECT(ADDRESS(K25*2+2,3))),"",INDIRECT(ADDRESS(K25*2+2,3)))</f>
        <v>Валибуз Пьер</v>
      </c>
      <c r="I25" s="120"/>
      <c r="J25" s="120"/>
      <c r="K25" s="36">
        <v>7</v>
      </c>
      <c r="L25" s="39" t="s">
        <v>5</v>
      </c>
      <c r="M25" s="51">
        <v>2</v>
      </c>
    </row>
    <row r="26" spans="2:16" customFormat="1" ht="30" customHeight="1" thickBot="1" x14ac:dyDescent="0.3">
      <c r="B26" s="36">
        <v>3</v>
      </c>
      <c r="C26" s="120" t="str">
        <f ca="1">IF(ISBLANK(INDIRECT(ADDRESS(B26*2+2,3))),"",INDIRECT(ADDRESS(B26*2+2,3)))</f>
        <v>Нечаев Максим</v>
      </c>
      <c r="D26" s="120"/>
      <c r="E26" s="121"/>
      <c r="F26" s="37">
        <v>2</v>
      </c>
      <c r="G26" s="38">
        <v>13</v>
      </c>
      <c r="H26" s="122" t="str">
        <f ca="1">IF(ISBLANK(INDIRECT(ADDRESS(K26*2+2,3))),"",INDIRECT(ADDRESS(K26*2+2,3)))</f>
        <v>Ерёмин Павел</v>
      </c>
      <c r="I26" s="120"/>
      <c r="J26" s="120"/>
      <c r="K26" s="36">
        <v>6</v>
      </c>
      <c r="L26" s="39" t="s">
        <v>5</v>
      </c>
      <c r="M26" s="51">
        <v>3</v>
      </c>
    </row>
    <row r="27" spans="2:16" customFormat="1" ht="30" customHeight="1" thickBot="1" x14ac:dyDescent="0.3">
      <c r="B27" s="36">
        <v>4</v>
      </c>
      <c r="C27" s="120" t="str">
        <f ca="1">IF(ISBLANK(INDIRECT(ADDRESS(B27*2+2,3))),"",INDIRECT(ADDRESS(B27*2+2,3)))</f>
        <v>Пиманов Николай</v>
      </c>
      <c r="D27" s="120"/>
      <c r="E27" s="121"/>
      <c r="F27" s="37">
        <v>6</v>
      </c>
      <c r="G27" s="38">
        <v>13</v>
      </c>
      <c r="H27" s="122" t="str">
        <f ca="1">IF(ISBLANK(INDIRECT(ADDRESS(K27*2+2,3))),"",INDIRECT(ADDRESS(K27*2+2,3)))</f>
        <v>Лукин Сергей</v>
      </c>
      <c r="I27" s="120"/>
      <c r="J27" s="120"/>
      <c r="K27" s="36">
        <v>5</v>
      </c>
      <c r="L27" s="39" t="s">
        <v>5</v>
      </c>
      <c r="M27" s="51">
        <v>4</v>
      </c>
    </row>
    <row r="28" spans="2:16" customFormat="1" ht="30" customHeight="1" x14ac:dyDescent="0.25">
      <c r="M28" s="52"/>
    </row>
    <row r="29" spans="2:16" customFormat="1" ht="30" customHeight="1" thickBot="1" x14ac:dyDescent="0.3">
      <c r="B29" s="129" t="s">
        <v>6</v>
      </c>
      <c r="C29" s="129"/>
      <c r="D29" s="129"/>
      <c r="E29" s="129"/>
      <c r="F29" s="129"/>
      <c r="G29" s="129"/>
      <c r="H29" s="129"/>
      <c r="I29" s="129"/>
      <c r="J29" s="129"/>
      <c r="K29" s="129"/>
      <c r="M29" s="52"/>
    </row>
    <row r="30" spans="2:16" customFormat="1" ht="30" customHeight="1" thickBot="1" x14ac:dyDescent="0.3">
      <c r="B30" s="36">
        <v>8</v>
      </c>
      <c r="C30" s="120" t="str">
        <f ca="1">IF(ISBLANK(INDIRECT(ADDRESS(B30*2+2,3))),"",INDIRECT(ADDRESS(B30*2+2,3)))</f>
        <v>Борисенко Дмитрий</v>
      </c>
      <c r="D30" s="120"/>
      <c r="E30" s="121"/>
      <c r="F30" s="37">
        <v>11</v>
      </c>
      <c r="G30" s="38">
        <v>12</v>
      </c>
      <c r="H30" s="122" t="str">
        <f ca="1">IF(ISBLANK(INDIRECT(ADDRESS(K30*2+2,3))),"",INDIRECT(ADDRESS(K30*2+2,3)))</f>
        <v>Лукин Сергей</v>
      </c>
      <c r="I30" s="120"/>
      <c r="J30" s="120"/>
      <c r="K30" s="36">
        <v>5</v>
      </c>
      <c r="L30" s="39" t="s">
        <v>5</v>
      </c>
      <c r="M30" s="51">
        <v>4</v>
      </c>
    </row>
    <row r="31" spans="2:16" customFormat="1" ht="30" customHeight="1" thickBot="1" x14ac:dyDescent="0.3">
      <c r="B31" s="36">
        <v>6</v>
      </c>
      <c r="C31" s="120" t="str">
        <f ca="1">IF(ISBLANK(INDIRECT(ADDRESS(B31*2+2,3))),"",INDIRECT(ADDRESS(B31*2+2,3)))</f>
        <v>Ерёмин Павел</v>
      </c>
      <c r="D31" s="120"/>
      <c r="E31" s="121"/>
      <c r="F31" s="37">
        <v>13</v>
      </c>
      <c r="G31" s="38">
        <v>6</v>
      </c>
      <c r="H31" s="122" t="str">
        <f ca="1">IF(ISBLANK(INDIRECT(ADDRESS(K31*2+2,3))),"",INDIRECT(ADDRESS(K31*2+2,3)))</f>
        <v>Пиманов Николай</v>
      </c>
      <c r="I31" s="120"/>
      <c r="J31" s="120"/>
      <c r="K31" s="36">
        <v>4</v>
      </c>
      <c r="L31" s="39" t="s">
        <v>5</v>
      </c>
      <c r="M31" s="51">
        <v>5</v>
      </c>
    </row>
    <row r="32" spans="2:16" customFormat="1" ht="30" customHeight="1" thickBot="1" x14ac:dyDescent="0.3">
      <c r="B32" s="36">
        <v>7</v>
      </c>
      <c r="C32" s="120" t="str">
        <f ca="1">IF(ISBLANK(INDIRECT(ADDRESS(B32*2+2,3))),"",INDIRECT(ADDRESS(B32*2+2,3)))</f>
        <v>Валибуз Пьер</v>
      </c>
      <c r="D32" s="120"/>
      <c r="E32" s="121"/>
      <c r="F32" s="37">
        <v>12</v>
      </c>
      <c r="G32" s="38">
        <v>13</v>
      </c>
      <c r="H32" s="122" t="str">
        <f ca="1">IF(ISBLANK(INDIRECT(ADDRESS(K32*2+2,3))),"",INDIRECT(ADDRESS(K32*2+2,3)))</f>
        <v>Нечаев Максим</v>
      </c>
      <c r="I32" s="120"/>
      <c r="J32" s="120"/>
      <c r="K32" s="36">
        <v>3</v>
      </c>
      <c r="L32" s="39" t="s">
        <v>5</v>
      </c>
      <c r="M32" s="51">
        <v>6</v>
      </c>
    </row>
    <row r="33" spans="2:13" customFormat="1" ht="30" customHeight="1" thickBot="1" x14ac:dyDescent="0.3">
      <c r="B33" s="36">
        <v>1</v>
      </c>
      <c r="C33" s="120" t="str">
        <f ca="1">IF(ISBLANK(INDIRECT(ADDRESS(B33*2+2,3))),"",INDIRECT(ADDRESS(B33*2+2,3)))</f>
        <v>Капран-Индаяти Сергей</v>
      </c>
      <c r="D33" s="120"/>
      <c r="E33" s="121"/>
      <c r="F33" s="37">
        <v>13</v>
      </c>
      <c r="G33" s="38">
        <v>3</v>
      </c>
      <c r="H33" s="122" t="str">
        <f ca="1">IF(ISBLANK(INDIRECT(ADDRESS(K33*2+2,3))),"",INDIRECT(ADDRESS(K33*2+2,3)))</f>
        <v>Овчинников Тимофей</v>
      </c>
      <c r="I33" s="120"/>
      <c r="J33" s="120"/>
      <c r="K33" s="36">
        <v>2</v>
      </c>
      <c r="L33" s="39" t="s">
        <v>5</v>
      </c>
      <c r="M33" s="51">
        <v>7</v>
      </c>
    </row>
    <row r="34" spans="2:13" customFormat="1" ht="30" customHeight="1" x14ac:dyDescent="0.25">
      <c r="M34" s="52"/>
    </row>
    <row r="35" spans="2:13" customFormat="1" ht="30" customHeight="1" thickBot="1" x14ac:dyDescent="0.3">
      <c r="B35" s="129" t="s">
        <v>7</v>
      </c>
      <c r="C35" s="129"/>
      <c r="D35" s="129"/>
      <c r="E35" s="129"/>
      <c r="F35" s="129"/>
      <c r="G35" s="129"/>
      <c r="H35" s="129"/>
      <c r="I35" s="129"/>
      <c r="J35" s="129"/>
      <c r="K35" s="129"/>
      <c r="M35" s="52"/>
    </row>
    <row r="36" spans="2:13" customFormat="1" ht="30" customHeight="1" thickBot="1" x14ac:dyDescent="0.3">
      <c r="B36" s="36">
        <v>2</v>
      </c>
      <c r="C36" s="120" t="str">
        <f ca="1">IF(ISBLANK(INDIRECT(ADDRESS(B36*2+2,3))),"",INDIRECT(ADDRESS(B36*2+2,3)))</f>
        <v>Овчинников Тимофей</v>
      </c>
      <c r="D36" s="120"/>
      <c r="E36" s="121"/>
      <c r="F36" s="37">
        <v>5</v>
      </c>
      <c r="G36" s="38">
        <v>13</v>
      </c>
      <c r="H36" s="122" t="str">
        <f ca="1">IF(ISBLANK(INDIRECT(ADDRESS(K36*2+2,3))),"",INDIRECT(ADDRESS(K36*2+2,3)))</f>
        <v>Борисенко Дмитрий</v>
      </c>
      <c r="I36" s="120"/>
      <c r="J36" s="120"/>
      <c r="K36" s="36">
        <v>8</v>
      </c>
      <c r="L36" s="39" t="s">
        <v>5</v>
      </c>
      <c r="M36" s="51">
        <v>4</v>
      </c>
    </row>
    <row r="37" spans="2:13" customFormat="1" ht="30" customHeight="1" thickBot="1" x14ac:dyDescent="0.3">
      <c r="B37" s="36">
        <v>3</v>
      </c>
      <c r="C37" s="120" t="str">
        <f ca="1">IF(ISBLANK(INDIRECT(ADDRESS(B37*2+2,3))),"",INDIRECT(ADDRESS(B37*2+2,3)))</f>
        <v>Нечаев Максим</v>
      </c>
      <c r="D37" s="120"/>
      <c r="E37" s="121"/>
      <c r="F37" s="37">
        <v>2</v>
      </c>
      <c r="G37" s="38">
        <v>13</v>
      </c>
      <c r="H37" s="122" t="str">
        <f ca="1">IF(ISBLANK(INDIRECT(ADDRESS(K37*2+2,3))),"",INDIRECT(ADDRESS(K37*2+2,3)))</f>
        <v>Капран-Индаяти Сергей</v>
      </c>
      <c r="I37" s="120"/>
      <c r="J37" s="120"/>
      <c r="K37" s="36">
        <v>1</v>
      </c>
      <c r="L37" s="39" t="s">
        <v>5</v>
      </c>
      <c r="M37" s="51">
        <v>3</v>
      </c>
    </row>
    <row r="38" spans="2:13" customFormat="1" ht="30" customHeight="1" thickBot="1" x14ac:dyDescent="0.3">
      <c r="B38" s="36">
        <v>4</v>
      </c>
      <c r="C38" s="120" t="str">
        <f ca="1">IF(ISBLANK(INDIRECT(ADDRESS(B38*2+2,3))),"",INDIRECT(ADDRESS(B38*2+2,3)))</f>
        <v>Пиманов Николай</v>
      </c>
      <c r="D38" s="120"/>
      <c r="E38" s="121"/>
      <c r="F38" s="37">
        <v>13</v>
      </c>
      <c r="G38" s="38">
        <v>8</v>
      </c>
      <c r="H38" s="122" t="str">
        <f ca="1">IF(ISBLANK(INDIRECT(ADDRESS(K38*2+2,3))),"",INDIRECT(ADDRESS(K38*2+2,3)))</f>
        <v>Валибуз Пьер</v>
      </c>
      <c r="I38" s="120"/>
      <c r="J38" s="120"/>
      <c r="K38" s="36">
        <v>7</v>
      </c>
      <c r="L38" s="39" t="s">
        <v>5</v>
      </c>
      <c r="M38" s="51">
        <v>2</v>
      </c>
    </row>
    <row r="39" spans="2:13" customFormat="1" ht="30" customHeight="1" thickBot="1" x14ac:dyDescent="0.3">
      <c r="B39" s="36">
        <v>5</v>
      </c>
      <c r="C39" s="120" t="str">
        <f ca="1">IF(ISBLANK(INDIRECT(ADDRESS(B39*2+2,3))),"",INDIRECT(ADDRESS(B39*2+2,3)))</f>
        <v>Лукин Сергей</v>
      </c>
      <c r="D39" s="120"/>
      <c r="E39" s="121"/>
      <c r="F39" s="37">
        <v>10</v>
      </c>
      <c r="G39" s="38">
        <v>13</v>
      </c>
      <c r="H39" s="122" t="str">
        <f ca="1">IF(ISBLANK(INDIRECT(ADDRESS(K39*2+2,3))),"",INDIRECT(ADDRESS(K39*2+2,3)))</f>
        <v>Ерёмин Павел</v>
      </c>
      <c r="I39" s="120"/>
      <c r="J39" s="120"/>
      <c r="K39" s="36">
        <v>6</v>
      </c>
      <c r="L39" s="39" t="s">
        <v>5</v>
      </c>
      <c r="M39" s="51">
        <v>1</v>
      </c>
    </row>
    <row r="40" spans="2:13" customFormat="1" ht="30" customHeight="1" x14ac:dyDescent="0.25">
      <c r="M40" s="52"/>
    </row>
    <row r="41" spans="2:13" customFormat="1" ht="30" customHeight="1" thickBot="1" x14ac:dyDescent="0.3">
      <c r="B41" s="129" t="s">
        <v>8</v>
      </c>
      <c r="C41" s="129"/>
      <c r="D41" s="129"/>
      <c r="E41" s="129"/>
      <c r="F41" s="129"/>
      <c r="G41" s="129"/>
      <c r="H41" s="129"/>
      <c r="I41" s="129"/>
      <c r="J41" s="129"/>
      <c r="K41" s="129"/>
      <c r="M41" s="52"/>
    </row>
    <row r="42" spans="2:13" customFormat="1" ht="30" customHeight="1" thickBot="1" x14ac:dyDescent="0.3">
      <c r="B42" s="36">
        <v>8</v>
      </c>
      <c r="C42" s="120" t="str">
        <f ca="1">IF(ISBLANK(INDIRECT(ADDRESS(B42*2+2,3))),"",INDIRECT(ADDRESS(B42*2+2,3)))</f>
        <v>Борисенко Дмитрий</v>
      </c>
      <c r="D42" s="120"/>
      <c r="E42" s="121"/>
      <c r="F42" s="37">
        <v>13</v>
      </c>
      <c r="G42" s="38">
        <v>7</v>
      </c>
      <c r="H42" s="122" t="str">
        <f ca="1">IF(ISBLANK(INDIRECT(ADDRESS(K42*2+2,3))),"",INDIRECT(ADDRESS(K42*2+2,3)))</f>
        <v>Ерёмин Павел</v>
      </c>
      <c r="I42" s="120"/>
      <c r="J42" s="120"/>
      <c r="K42" s="36">
        <v>6</v>
      </c>
      <c r="L42" s="39" t="s">
        <v>5</v>
      </c>
      <c r="M42" s="51">
        <v>4</v>
      </c>
    </row>
    <row r="43" spans="2:13" customFormat="1" ht="30" customHeight="1" thickBot="1" x14ac:dyDescent="0.3">
      <c r="B43" s="36">
        <v>7</v>
      </c>
      <c r="C43" s="120" t="str">
        <f ca="1">IF(ISBLANK(INDIRECT(ADDRESS(B43*2+2,3))),"",INDIRECT(ADDRESS(B43*2+2,3)))</f>
        <v>Валибуз Пьер</v>
      </c>
      <c r="D43" s="120"/>
      <c r="E43" s="121"/>
      <c r="F43" s="37">
        <v>13</v>
      </c>
      <c r="G43" s="38">
        <v>6</v>
      </c>
      <c r="H43" s="122" t="str">
        <f ca="1">IF(ISBLANK(INDIRECT(ADDRESS(K43*2+2,3))),"",INDIRECT(ADDRESS(K43*2+2,3)))</f>
        <v>Лукин Сергей</v>
      </c>
      <c r="I43" s="120"/>
      <c r="J43" s="120"/>
      <c r="K43" s="36">
        <v>5</v>
      </c>
      <c r="L43" s="39" t="s">
        <v>5</v>
      </c>
      <c r="M43" s="51">
        <v>5</v>
      </c>
    </row>
    <row r="44" spans="2:13" customFormat="1" ht="30" customHeight="1" thickBot="1" x14ac:dyDescent="0.3">
      <c r="B44" s="36">
        <v>1</v>
      </c>
      <c r="C44" s="120" t="str">
        <f ca="1">IF(ISBLANK(INDIRECT(ADDRESS(B44*2+2,3))),"",INDIRECT(ADDRESS(B44*2+2,3)))</f>
        <v>Капран-Индаяти Сергей</v>
      </c>
      <c r="D44" s="120"/>
      <c r="E44" s="121"/>
      <c r="F44" s="37">
        <v>4</v>
      </c>
      <c r="G44" s="38">
        <v>13</v>
      </c>
      <c r="H44" s="122" t="str">
        <f ca="1">IF(ISBLANK(INDIRECT(ADDRESS(K44*2+2,3))),"",INDIRECT(ADDRESS(K44*2+2,3)))</f>
        <v>Пиманов Николай</v>
      </c>
      <c r="I44" s="120"/>
      <c r="J44" s="120"/>
      <c r="K44" s="36">
        <v>4</v>
      </c>
      <c r="L44" s="39" t="s">
        <v>5</v>
      </c>
      <c r="M44" s="51">
        <v>6</v>
      </c>
    </row>
    <row r="45" spans="2:13" customFormat="1" ht="30" customHeight="1" thickBot="1" x14ac:dyDescent="0.3">
      <c r="B45" s="36">
        <v>2</v>
      </c>
      <c r="C45" s="120" t="str">
        <f ca="1">IF(ISBLANK(INDIRECT(ADDRESS(B45*2+2,3))),"",INDIRECT(ADDRESS(B45*2+2,3)))</f>
        <v>Овчинников Тимофей</v>
      </c>
      <c r="D45" s="120"/>
      <c r="E45" s="121"/>
      <c r="F45" s="37">
        <v>5</v>
      </c>
      <c r="G45" s="38">
        <v>13</v>
      </c>
      <c r="H45" s="122" t="str">
        <f ca="1">IF(ISBLANK(INDIRECT(ADDRESS(K45*2+2,3))),"",INDIRECT(ADDRESS(K45*2+2,3)))</f>
        <v>Нечаев Максим</v>
      </c>
      <c r="I45" s="120"/>
      <c r="J45" s="120"/>
      <c r="K45" s="36">
        <v>3</v>
      </c>
      <c r="L45" s="39" t="s">
        <v>5</v>
      </c>
      <c r="M45" s="51">
        <v>7</v>
      </c>
    </row>
    <row r="46" spans="2:13" customFormat="1" ht="30" customHeight="1" x14ac:dyDescent="0.25">
      <c r="M46" s="52"/>
    </row>
    <row r="47" spans="2:13" customFormat="1" ht="30" customHeight="1" thickBot="1" x14ac:dyDescent="0.3">
      <c r="B47" s="129" t="s">
        <v>9</v>
      </c>
      <c r="C47" s="129"/>
      <c r="D47" s="129"/>
      <c r="E47" s="129"/>
      <c r="F47" s="129"/>
      <c r="G47" s="129"/>
      <c r="H47" s="129"/>
      <c r="I47" s="129"/>
      <c r="J47" s="129"/>
      <c r="K47" s="129"/>
      <c r="M47" s="52"/>
    </row>
    <row r="48" spans="2:13" customFormat="1" ht="30" customHeight="1" thickBot="1" x14ac:dyDescent="0.3">
      <c r="B48" s="36">
        <v>3</v>
      </c>
      <c r="C48" s="120" t="str">
        <f ca="1">IF(ISBLANK(INDIRECT(ADDRESS(B48*2+2,3))),"",INDIRECT(ADDRESS(B48*2+2,3)))</f>
        <v>Нечаев Максим</v>
      </c>
      <c r="D48" s="120"/>
      <c r="E48" s="121"/>
      <c r="F48" s="37">
        <v>12</v>
      </c>
      <c r="G48" s="38">
        <v>8</v>
      </c>
      <c r="H48" s="122" t="str">
        <f ca="1">IF(ISBLANK(INDIRECT(ADDRESS(K48*2+2,3))),"",INDIRECT(ADDRESS(K48*2+2,3)))</f>
        <v>Борисенко Дмитрий</v>
      </c>
      <c r="I48" s="120"/>
      <c r="J48" s="120"/>
      <c r="K48" s="36">
        <v>8</v>
      </c>
      <c r="L48" s="39" t="s">
        <v>5</v>
      </c>
      <c r="M48" s="51">
        <v>1</v>
      </c>
    </row>
    <row r="49" spans="2:13" customFormat="1" ht="30" customHeight="1" thickBot="1" x14ac:dyDescent="0.3">
      <c r="B49" s="36">
        <v>4</v>
      </c>
      <c r="C49" s="120" t="str">
        <f ca="1">IF(ISBLANK(INDIRECT(ADDRESS(B49*2+2,3))),"",INDIRECT(ADDRESS(B49*2+2,3)))</f>
        <v>Пиманов Николай</v>
      </c>
      <c r="D49" s="120"/>
      <c r="E49" s="121"/>
      <c r="F49" s="37">
        <v>13</v>
      </c>
      <c r="G49" s="38">
        <v>4</v>
      </c>
      <c r="H49" s="122" t="str">
        <f ca="1">IF(ISBLANK(INDIRECT(ADDRESS(K49*2+2,3))),"",INDIRECT(ADDRESS(K49*2+2,3)))</f>
        <v>Овчинников Тимофей</v>
      </c>
      <c r="I49" s="120"/>
      <c r="J49" s="120"/>
      <c r="K49" s="36">
        <v>2</v>
      </c>
      <c r="L49" s="39" t="s">
        <v>5</v>
      </c>
      <c r="M49" s="51">
        <v>2</v>
      </c>
    </row>
    <row r="50" spans="2:13" customFormat="1" ht="30" customHeight="1" thickBot="1" x14ac:dyDescent="0.3">
      <c r="B50" s="36">
        <v>5</v>
      </c>
      <c r="C50" s="120" t="str">
        <f ca="1">IF(ISBLANK(INDIRECT(ADDRESS(B50*2+2,3))),"",INDIRECT(ADDRESS(B50*2+2,3)))</f>
        <v>Лукин Сергей</v>
      </c>
      <c r="D50" s="120"/>
      <c r="E50" s="121"/>
      <c r="F50" s="37">
        <v>10</v>
      </c>
      <c r="G50" s="38">
        <v>13</v>
      </c>
      <c r="H50" s="122" t="str">
        <f ca="1">IF(ISBLANK(INDIRECT(ADDRESS(K50*2+2,3))),"",INDIRECT(ADDRESS(K50*2+2,3)))</f>
        <v>Капран-Индаяти Сергей</v>
      </c>
      <c r="I50" s="120"/>
      <c r="J50" s="120"/>
      <c r="K50" s="36">
        <v>1</v>
      </c>
      <c r="L50" s="39" t="s">
        <v>5</v>
      </c>
      <c r="M50" s="51">
        <v>3</v>
      </c>
    </row>
    <row r="51" spans="2:13" customFormat="1" ht="30" customHeight="1" thickBot="1" x14ac:dyDescent="0.3">
      <c r="B51" s="36">
        <v>6</v>
      </c>
      <c r="C51" s="120" t="str">
        <f ca="1">IF(ISBLANK(INDIRECT(ADDRESS(B51*2+2,3))),"",INDIRECT(ADDRESS(B51*2+2,3)))</f>
        <v>Ерёмин Павел</v>
      </c>
      <c r="D51" s="120"/>
      <c r="E51" s="121"/>
      <c r="F51" s="37">
        <v>13</v>
      </c>
      <c r="G51" s="38">
        <v>11</v>
      </c>
      <c r="H51" s="122" t="str">
        <f ca="1">IF(ISBLANK(INDIRECT(ADDRESS(K51*2+2,3))),"",INDIRECT(ADDRESS(K51*2+2,3)))</f>
        <v>Валибуз Пьер</v>
      </c>
      <c r="I51" s="120"/>
      <c r="J51" s="120"/>
      <c r="K51" s="36">
        <v>7</v>
      </c>
      <c r="L51" s="39" t="s">
        <v>5</v>
      </c>
      <c r="M51" s="51">
        <v>4</v>
      </c>
    </row>
    <row r="52" spans="2:13" customFormat="1" ht="30" customHeight="1" x14ac:dyDescent="0.25">
      <c r="M52" s="52"/>
    </row>
    <row r="53" spans="2:13" customFormat="1" ht="30" customHeight="1" thickBot="1" x14ac:dyDescent="0.3">
      <c r="B53" s="129" t="s">
        <v>10</v>
      </c>
      <c r="C53" s="129"/>
      <c r="D53" s="129"/>
      <c r="E53" s="129"/>
      <c r="F53" s="129"/>
      <c r="G53" s="129"/>
      <c r="H53" s="129"/>
      <c r="I53" s="129"/>
      <c r="J53" s="129"/>
      <c r="K53" s="129"/>
      <c r="M53" s="52"/>
    </row>
    <row r="54" spans="2:13" customFormat="1" ht="30" customHeight="1" thickBot="1" x14ac:dyDescent="0.3">
      <c r="B54" s="36">
        <v>8</v>
      </c>
      <c r="C54" s="120" t="str">
        <f ca="1">IF(ISBLANK(INDIRECT(ADDRESS(B54*2+2,3))),"",INDIRECT(ADDRESS(B54*2+2,3)))</f>
        <v>Борисенко Дмитрий</v>
      </c>
      <c r="D54" s="120"/>
      <c r="E54" s="121"/>
      <c r="F54" s="37">
        <v>13</v>
      </c>
      <c r="G54" s="38">
        <v>8</v>
      </c>
      <c r="H54" s="122" t="str">
        <f ca="1">IF(ISBLANK(INDIRECT(ADDRESS(K54*2+2,3))),"",INDIRECT(ADDRESS(K54*2+2,3)))</f>
        <v>Валибуз Пьер</v>
      </c>
      <c r="I54" s="120"/>
      <c r="J54" s="120"/>
      <c r="K54" s="36">
        <v>7</v>
      </c>
      <c r="L54" s="39" t="s">
        <v>5</v>
      </c>
      <c r="M54" s="51">
        <v>5</v>
      </c>
    </row>
    <row r="55" spans="2:13" customFormat="1" ht="30" customHeight="1" thickBot="1" x14ac:dyDescent="0.3">
      <c r="B55" s="36">
        <v>1</v>
      </c>
      <c r="C55" s="120" t="str">
        <f ca="1">IF(ISBLANK(INDIRECT(ADDRESS(B55*2+2,3))),"",INDIRECT(ADDRESS(B55*2+2,3)))</f>
        <v>Капран-Индаяти Сергей</v>
      </c>
      <c r="D55" s="120"/>
      <c r="E55" s="121"/>
      <c r="F55" s="37">
        <v>7</v>
      </c>
      <c r="G55" s="38">
        <v>13</v>
      </c>
      <c r="H55" s="122" t="str">
        <f ca="1">IF(ISBLANK(INDIRECT(ADDRESS(K55*2+2,3))),"",INDIRECT(ADDRESS(K55*2+2,3)))</f>
        <v>Ерёмин Павел</v>
      </c>
      <c r="I55" s="120"/>
      <c r="J55" s="120"/>
      <c r="K55" s="36">
        <v>6</v>
      </c>
      <c r="L55" s="39" t="s">
        <v>5</v>
      </c>
      <c r="M55" s="51">
        <v>6</v>
      </c>
    </row>
    <row r="56" spans="2:13" customFormat="1" ht="30" customHeight="1" thickBot="1" x14ac:dyDescent="0.3">
      <c r="B56" s="36">
        <v>2</v>
      </c>
      <c r="C56" s="120" t="str">
        <f ca="1">IF(ISBLANK(INDIRECT(ADDRESS(B56*2+2,3))),"",INDIRECT(ADDRESS(B56*2+2,3)))</f>
        <v>Овчинников Тимофей</v>
      </c>
      <c r="D56" s="120"/>
      <c r="E56" s="121"/>
      <c r="F56" s="37">
        <v>3</v>
      </c>
      <c r="G56" s="38">
        <v>13</v>
      </c>
      <c r="H56" s="122" t="str">
        <f ca="1">IF(ISBLANK(INDIRECT(ADDRESS(K56*2+2,3))),"",INDIRECT(ADDRESS(K56*2+2,3)))</f>
        <v>Лукин Сергей</v>
      </c>
      <c r="I56" s="120"/>
      <c r="J56" s="120"/>
      <c r="K56" s="36">
        <v>5</v>
      </c>
      <c r="L56" s="39" t="s">
        <v>5</v>
      </c>
      <c r="M56" s="51">
        <v>7</v>
      </c>
    </row>
    <row r="57" spans="2:13" customFormat="1" ht="30" customHeight="1" thickBot="1" x14ac:dyDescent="0.3">
      <c r="B57" s="36">
        <v>3</v>
      </c>
      <c r="C57" s="120" t="str">
        <f ca="1">IF(ISBLANK(INDIRECT(ADDRESS(B57*2+2,3))),"",INDIRECT(ADDRESS(B57*2+2,3)))</f>
        <v>Нечаев Максим</v>
      </c>
      <c r="D57" s="120"/>
      <c r="E57" s="121"/>
      <c r="F57" s="37">
        <v>13</v>
      </c>
      <c r="G57" s="38">
        <v>7</v>
      </c>
      <c r="H57" s="122" t="str">
        <f ca="1">IF(ISBLANK(INDIRECT(ADDRESS(K57*2+2,3))),"",INDIRECT(ADDRESS(K57*2+2,3)))</f>
        <v>Пиманов Николай</v>
      </c>
      <c r="I57" s="120"/>
      <c r="J57" s="120"/>
      <c r="K57" s="36">
        <v>4</v>
      </c>
      <c r="L57" s="39" t="s">
        <v>5</v>
      </c>
      <c r="M57" s="51">
        <v>4</v>
      </c>
    </row>
    <row r="58" spans="2:13" customFormat="1" ht="30" customHeight="1" x14ac:dyDescent="0.25">
      <c r="M58" s="52"/>
    </row>
    <row r="59" spans="2:13" customFormat="1" ht="30" customHeight="1" thickBot="1" x14ac:dyDescent="0.3">
      <c r="B59" s="129" t="s">
        <v>11</v>
      </c>
      <c r="C59" s="129"/>
      <c r="D59" s="129"/>
      <c r="E59" s="129"/>
      <c r="F59" s="129"/>
      <c r="G59" s="129"/>
      <c r="H59" s="129"/>
      <c r="I59" s="129"/>
      <c r="J59" s="129"/>
      <c r="K59" s="129"/>
      <c r="M59" s="52"/>
    </row>
    <row r="60" spans="2:13" customFormat="1" ht="30" customHeight="1" thickBot="1" x14ac:dyDescent="0.3">
      <c r="B60" s="36">
        <v>4</v>
      </c>
      <c r="C60" s="120" t="str">
        <f ca="1">IF(ISBLANK(INDIRECT(ADDRESS(B60*2+2,3))),"",INDIRECT(ADDRESS(B60*2+2,3)))</f>
        <v>Пиманов Николай</v>
      </c>
      <c r="D60" s="120"/>
      <c r="E60" s="121"/>
      <c r="F60" s="37">
        <v>11</v>
      </c>
      <c r="G60" s="38">
        <v>13</v>
      </c>
      <c r="H60" s="122" t="str">
        <f ca="1">IF(ISBLANK(INDIRECT(ADDRESS(K60*2+2,3))),"",INDIRECT(ADDRESS(K60*2+2,3)))</f>
        <v>Борисенко Дмитрий</v>
      </c>
      <c r="I60" s="120"/>
      <c r="J60" s="120"/>
      <c r="K60" s="36">
        <v>8</v>
      </c>
      <c r="L60" s="39" t="s">
        <v>5</v>
      </c>
      <c r="M60" s="51">
        <v>1</v>
      </c>
    </row>
    <row r="61" spans="2:13" customFormat="1" ht="30" customHeight="1" thickBot="1" x14ac:dyDescent="0.3">
      <c r="B61" s="36">
        <v>5</v>
      </c>
      <c r="C61" s="120" t="str">
        <f ca="1">IF(ISBLANK(INDIRECT(ADDRESS(B61*2+2,3))),"",INDIRECT(ADDRESS(B61*2+2,3)))</f>
        <v>Лукин Сергей</v>
      </c>
      <c r="D61" s="120"/>
      <c r="E61" s="121"/>
      <c r="F61" s="37">
        <v>13</v>
      </c>
      <c r="G61" s="38">
        <v>8</v>
      </c>
      <c r="H61" s="122" t="str">
        <f ca="1">IF(ISBLANK(INDIRECT(ADDRESS(K61*2+2,3))),"",INDIRECT(ADDRESS(K61*2+2,3)))</f>
        <v>Нечаев Максим</v>
      </c>
      <c r="I61" s="120"/>
      <c r="J61" s="120"/>
      <c r="K61" s="36">
        <v>3</v>
      </c>
      <c r="L61" s="39" t="s">
        <v>5</v>
      </c>
      <c r="M61" s="51">
        <v>3</v>
      </c>
    </row>
    <row r="62" spans="2:13" customFormat="1" ht="30" customHeight="1" thickBot="1" x14ac:dyDescent="0.3">
      <c r="B62" s="36">
        <v>6</v>
      </c>
      <c r="C62" s="120" t="str">
        <f ca="1">IF(ISBLANK(INDIRECT(ADDRESS(B62*2+2,3))),"",INDIRECT(ADDRESS(B62*2+2,3)))</f>
        <v>Ерёмин Павел</v>
      </c>
      <c r="D62" s="120"/>
      <c r="E62" s="121"/>
      <c r="F62" s="37">
        <v>13</v>
      </c>
      <c r="G62" s="38">
        <v>5</v>
      </c>
      <c r="H62" s="122" t="str">
        <f ca="1">IF(ISBLANK(INDIRECT(ADDRESS(K62*2+2,3))),"",INDIRECT(ADDRESS(K62*2+2,3)))</f>
        <v>Овчинников Тимофей</v>
      </c>
      <c r="I62" s="120"/>
      <c r="J62" s="120"/>
      <c r="K62" s="36">
        <v>2</v>
      </c>
      <c r="L62" s="39" t="s">
        <v>5</v>
      </c>
      <c r="M62" s="51">
        <v>4</v>
      </c>
    </row>
    <row r="63" spans="2:13" customFormat="1" ht="30" customHeight="1" thickBot="1" x14ac:dyDescent="0.3">
      <c r="B63" s="36">
        <v>7</v>
      </c>
      <c r="C63" s="120" t="str">
        <f ca="1">IF(ISBLANK(INDIRECT(ADDRESS(B63*2+2,3))),"",INDIRECT(ADDRESS(B63*2+2,3)))</f>
        <v>Валибуз Пьер</v>
      </c>
      <c r="D63" s="120"/>
      <c r="E63" s="121"/>
      <c r="F63" s="37">
        <v>9</v>
      </c>
      <c r="G63" s="38">
        <v>13</v>
      </c>
      <c r="H63" s="122" t="str">
        <f ca="1">IF(ISBLANK(INDIRECT(ADDRESS(K63*2+2,3))),"",INDIRECT(ADDRESS(K63*2+2,3)))</f>
        <v>Капран-Индаяти Сергей</v>
      </c>
      <c r="I63" s="120"/>
      <c r="J63" s="120"/>
      <c r="K63" s="36">
        <v>1</v>
      </c>
      <c r="L63" s="39" t="s">
        <v>5</v>
      </c>
      <c r="M63" s="51">
        <v>2</v>
      </c>
    </row>
    <row r="66" spans="2:13" x14ac:dyDescent="0.25">
      <c r="B66" s="95" t="s">
        <v>21</v>
      </c>
      <c r="C66" s="95"/>
      <c r="D66" s="95"/>
      <c r="E66" s="95"/>
      <c r="F66" s="95"/>
      <c r="G66" s="95"/>
      <c r="H66" s="95"/>
      <c r="I66" s="95"/>
      <c r="J66" s="95"/>
      <c r="K66" s="95"/>
      <c r="L66" s="95"/>
      <c r="M66" s="95"/>
    </row>
    <row r="67" spans="2:13" x14ac:dyDescent="0.25"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</row>
    <row r="68" spans="2:13" x14ac:dyDescent="0.25"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</row>
    <row r="69" spans="2:13" x14ac:dyDescent="0.25">
      <c r="B69" s="95" t="s">
        <v>22</v>
      </c>
      <c r="C69" s="95"/>
      <c r="D69" s="95"/>
      <c r="E69" s="95"/>
      <c r="F69" s="95"/>
      <c r="G69" s="95"/>
      <c r="H69" s="95"/>
      <c r="I69" s="95"/>
      <c r="J69" s="95"/>
      <c r="K69" s="95"/>
      <c r="L69" s="95"/>
      <c r="M69" s="95"/>
    </row>
  </sheetData>
  <mergeCells count="99">
    <mergeCell ref="C61:E61"/>
    <mergeCell ref="H61:J61"/>
    <mergeCell ref="C62:E62"/>
    <mergeCell ref="H62:J62"/>
    <mergeCell ref="C63:E63"/>
    <mergeCell ref="H63:J63"/>
    <mergeCell ref="C60:E60"/>
    <mergeCell ref="H60:J60"/>
    <mergeCell ref="C51:E51"/>
    <mergeCell ref="H51:J51"/>
    <mergeCell ref="B53:K53"/>
    <mergeCell ref="C54:E54"/>
    <mergeCell ref="H54:J54"/>
    <mergeCell ref="C55:E55"/>
    <mergeCell ref="H55:J55"/>
    <mergeCell ref="C56:E56"/>
    <mergeCell ref="H56:J56"/>
    <mergeCell ref="C57:E57"/>
    <mergeCell ref="H57:J57"/>
    <mergeCell ref="B59:K59"/>
    <mergeCell ref="C50:E50"/>
    <mergeCell ref="H50:J50"/>
    <mergeCell ref="C43:E43"/>
    <mergeCell ref="H43:J43"/>
    <mergeCell ref="C44:E44"/>
    <mergeCell ref="H44:J44"/>
    <mergeCell ref="C45:E45"/>
    <mergeCell ref="H45:J45"/>
    <mergeCell ref="B47:K47"/>
    <mergeCell ref="C48:E48"/>
    <mergeCell ref="H48:J48"/>
    <mergeCell ref="C49:E49"/>
    <mergeCell ref="H49:J49"/>
    <mergeCell ref="C42:E42"/>
    <mergeCell ref="H42:J42"/>
    <mergeCell ref="C33:E33"/>
    <mergeCell ref="H33:J33"/>
    <mergeCell ref="B35:K35"/>
    <mergeCell ref="C36:E36"/>
    <mergeCell ref="H36:J36"/>
    <mergeCell ref="C37:E37"/>
    <mergeCell ref="H37:J37"/>
    <mergeCell ref="C38:E38"/>
    <mergeCell ref="H38:J38"/>
    <mergeCell ref="C39:E39"/>
    <mergeCell ref="H39:J39"/>
    <mergeCell ref="B41:K41"/>
    <mergeCell ref="P18:P19"/>
    <mergeCell ref="B23:K23"/>
    <mergeCell ref="C32:E32"/>
    <mergeCell ref="H32:J32"/>
    <mergeCell ref="C25:E25"/>
    <mergeCell ref="H25:J25"/>
    <mergeCell ref="C26:E26"/>
    <mergeCell ref="H26:J26"/>
    <mergeCell ref="C27:E27"/>
    <mergeCell ref="H27:J27"/>
    <mergeCell ref="B29:K29"/>
    <mergeCell ref="C30:E30"/>
    <mergeCell ref="H30:J30"/>
    <mergeCell ref="C31:E31"/>
    <mergeCell ref="H31:J31"/>
    <mergeCell ref="C24:E24"/>
    <mergeCell ref="H24:J24"/>
    <mergeCell ref="B14:B15"/>
    <mergeCell ref="C14:E15"/>
    <mergeCell ref="N14:N15"/>
    <mergeCell ref="B18:B19"/>
    <mergeCell ref="C18:E19"/>
    <mergeCell ref="N18:N19"/>
    <mergeCell ref="P14:P15"/>
    <mergeCell ref="B16:B17"/>
    <mergeCell ref="C16:E17"/>
    <mergeCell ref="N16:N17"/>
    <mergeCell ref="P16:P17"/>
    <mergeCell ref="B10:B11"/>
    <mergeCell ref="C10:E11"/>
    <mergeCell ref="N10:N11"/>
    <mergeCell ref="P10:P11"/>
    <mergeCell ref="B12:B13"/>
    <mergeCell ref="C12:E13"/>
    <mergeCell ref="N12:N13"/>
    <mergeCell ref="P12:P13"/>
    <mergeCell ref="P4:P5"/>
    <mergeCell ref="B1:P1"/>
    <mergeCell ref="B66:M66"/>
    <mergeCell ref="B69:M69"/>
    <mergeCell ref="C3:E3"/>
    <mergeCell ref="B4:B5"/>
    <mergeCell ref="C4:E5"/>
    <mergeCell ref="N4:N5"/>
    <mergeCell ref="B6:B7"/>
    <mergeCell ref="C6:E7"/>
    <mergeCell ref="N6:N7"/>
    <mergeCell ref="P6:P7"/>
    <mergeCell ref="B8:B9"/>
    <mergeCell ref="C8:E9"/>
    <mergeCell ref="N8:N9"/>
    <mergeCell ref="P8:P9"/>
  </mergeCells>
  <printOptions horizontalCentered="1"/>
  <pageMargins left="0.31496062992125984" right="0.31496062992125984" top="0.35433070866141736" bottom="0.55118110236220474" header="0.31496062992125984" footer="0.31496062992125984"/>
  <pageSetup paperSize="9" scale="45" orientation="portrait" horizontalDpi="4294967293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BA2C0-3782-4BB2-BC4B-ABE35A964A20}">
  <sheetPr>
    <pageSetUpPr fitToPage="1"/>
  </sheetPr>
  <dimension ref="A1:P60"/>
  <sheetViews>
    <sheetView workbookViewId="0">
      <selection activeCell="B1" sqref="B1:P1"/>
    </sheetView>
  </sheetViews>
  <sheetFormatPr defaultRowHeight="15" x14ac:dyDescent="0.25"/>
  <cols>
    <col min="1" max="1" width="4" style="41" customWidth="1"/>
    <col min="2" max="15" width="10.28515625" customWidth="1"/>
  </cols>
  <sheetData>
    <row r="1" spans="2:16" ht="59.25" customHeight="1" x14ac:dyDescent="0.25">
      <c r="B1" s="94" t="s">
        <v>52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</row>
    <row r="2" spans="2:16" ht="15.75" thickBot="1" x14ac:dyDescent="0.3"/>
    <row r="3" spans="2:16" ht="30" customHeight="1" thickBot="1" x14ac:dyDescent="0.3">
      <c r="B3" s="7"/>
      <c r="C3" s="96" t="s">
        <v>0</v>
      </c>
      <c r="D3" s="97"/>
      <c r="E3" s="98"/>
      <c r="F3" s="2">
        <v>1</v>
      </c>
      <c r="G3" s="2">
        <v>2</v>
      </c>
      <c r="H3" s="2">
        <v>3</v>
      </c>
      <c r="I3" s="3">
        <v>4</v>
      </c>
      <c r="J3" s="3">
        <v>5</v>
      </c>
      <c r="K3" s="3">
        <v>6</v>
      </c>
      <c r="L3" s="4">
        <v>7</v>
      </c>
      <c r="M3" s="5" t="s">
        <v>1</v>
      </c>
      <c r="N3" s="2" t="s">
        <v>2</v>
      </c>
      <c r="O3" s="6" t="s">
        <v>3</v>
      </c>
    </row>
    <row r="4" spans="2:16" ht="24" customHeight="1" x14ac:dyDescent="0.25">
      <c r="B4" s="99">
        <v>1</v>
      </c>
      <c r="C4" s="101" t="s">
        <v>23</v>
      </c>
      <c r="D4" s="102"/>
      <c r="E4" s="103"/>
      <c r="F4" s="8"/>
      <c r="G4" s="9" t="str">
        <f ca="1">INDIRECT(ADDRESS(29,6))&amp;":"&amp;INDIRECT(ADDRESS(29,7))</f>
        <v>13:8</v>
      </c>
      <c r="H4" s="9" t="str">
        <f ca="1">INDIRECT(ADDRESS(32,7))&amp;":"&amp;INDIRECT(ADDRESS(32,6))</f>
        <v>13:6</v>
      </c>
      <c r="I4" s="9" t="str">
        <f ca="1">INDIRECT(ADDRESS(38,6))&amp;":"&amp;INDIRECT(ADDRESS(38,7))</f>
        <v>13:5</v>
      </c>
      <c r="J4" s="9" t="str">
        <f ca="1">INDIRECT(ADDRESS(43,7))&amp;":"&amp;INDIRECT(ADDRESS(43,6))</f>
        <v>13:8</v>
      </c>
      <c r="K4" s="10" t="str">
        <f ca="1">INDIRECT(ADDRESS(47,6))&amp;":"&amp;INDIRECT(ADDRESS(47,7))</f>
        <v>13:5</v>
      </c>
      <c r="L4" s="11" t="str">
        <f ca="1">INDIRECT(ADDRESS(54,7))&amp;":"&amp;INDIRECT(ADDRESS(54,6))</f>
        <v>13:0</v>
      </c>
      <c r="M4" s="107">
        <f ca="1">IF(COUNT(F5:L5)=0,"",COUNTIF(F5:L5,"&gt;0")+0.5*COUNTIF(F5:L5,0))</f>
        <v>6</v>
      </c>
      <c r="N4" s="12"/>
      <c r="O4" s="92">
        <v>1</v>
      </c>
    </row>
    <row r="5" spans="2:16" ht="24" customHeight="1" x14ac:dyDescent="0.25">
      <c r="B5" s="100"/>
      <c r="C5" s="104"/>
      <c r="D5" s="105"/>
      <c r="E5" s="106"/>
      <c r="F5" s="13"/>
      <c r="G5" s="14">
        <f ca="1">IF(LEN(INDIRECT(ADDRESS(ROW()-1, COLUMN())))=1,"",INDIRECT(ADDRESS(29,6))-INDIRECT(ADDRESS(29,7)))</f>
        <v>5</v>
      </c>
      <c r="H5" s="14">
        <f ca="1">IF(LEN(INDIRECT(ADDRESS(ROW()-1, COLUMN())))=1,"",INDIRECT(ADDRESS(32,7))-INDIRECT(ADDRESS(32,6)))</f>
        <v>7</v>
      </c>
      <c r="I5" s="14">
        <f ca="1">IF(LEN(INDIRECT(ADDRESS(ROW()-1, COLUMN())))=1,"",INDIRECT(ADDRESS(38,6))-INDIRECT(ADDRESS(38,7)))</f>
        <v>8</v>
      </c>
      <c r="J5" s="14">
        <f ca="1">IF(LEN(INDIRECT(ADDRESS(ROW()-1, COLUMN())))=1,"",INDIRECT(ADDRESS(43,7))-INDIRECT(ADDRESS(43,6)))</f>
        <v>5</v>
      </c>
      <c r="K5" s="15">
        <f ca="1">IF(LEN(INDIRECT(ADDRESS(ROW()-1, COLUMN())))=1,"",INDIRECT(ADDRESS(47,6))-INDIRECT(ADDRESS(47,7)))</f>
        <v>8</v>
      </c>
      <c r="L5" s="16">
        <f ca="1">IF(LEN(INDIRECT(ADDRESS(ROW()-1, COLUMN())))=1,"",INDIRECT(ADDRESS(54,7))-INDIRECT(ADDRESS(54,6)))</f>
        <v>13</v>
      </c>
      <c r="M5" s="108"/>
      <c r="N5" s="14">
        <f ca="1">IF(COUNT(F5:L5)=0,"",SUM(F5:L5))</f>
        <v>46</v>
      </c>
      <c r="O5" s="93"/>
    </row>
    <row r="6" spans="2:16" ht="24" customHeight="1" x14ac:dyDescent="0.25">
      <c r="B6" s="109">
        <v>2</v>
      </c>
      <c r="C6" s="104" t="s">
        <v>24</v>
      </c>
      <c r="D6" s="105"/>
      <c r="E6" s="106"/>
      <c r="F6" s="17" t="str">
        <f ca="1">INDIRECT(ADDRESS(29,7))&amp;":"&amp;INDIRECT(ADDRESS(29,6))</f>
        <v>8:13</v>
      </c>
      <c r="G6" s="18"/>
      <c r="H6" s="19" t="str">
        <f ca="1">INDIRECT(ADDRESS(39,6))&amp;":"&amp;INDIRECT(ADDRESS(39,7))</f>
        <v>13:2</v>
      </c>
      <c r="I6" s="19" t="str">
        <f ca="1">INDIRECT(ADDRESS(42,7))&amp;":"&amp;INDIRECT(ADDRESS(42,6))</f>
        <v>9:13</v>
      </c>
      <c r="J6" s="19" t="str">
        <f ca="1">INDIRECT(ADDRESS(48,6))&amp;":"&amp;INDIRECT(ADDRESS(48,7))</f>
        <v>3:13</v>
      </c>
      <c r="K6" s="20" t="str">
        <f ca="1">INDIRECT(ADDRESS(53,7))&amp;":"&amp;INDIRECT(ADDRESS(53,6))</f>
        <v>4:13</v>
      </c>
      <c r="L6" s="21" t="str">
        <f ca="1">INDIRECT(ADDRESS(22,6))&amp;":"&amp;INDIRECT(ADDRESS(22,7))</f>
        <v>7:13</v>
      </c>
      <c r="M6" s="108">
        <f ca="1">IF(COUNT(F7:L7)=0,"",COUNTIF(F7:L7,"&gt;0")+0.5*COUNTIF(F7:L7,0))</f>
        <v>1</v>
      </c>
      <c r="N6" s="14" t="s">
        <v>40</v>
      </c>
      <c r="O6" s="110">
        <v>6</v>
      </c>
    </row>
    <row r="7" spans="2:16" ht="24" customHeight="1" x14ac:dyDescent="0.25">
      <c r="B7" s="100"/>
      <c r="C7" s="104"/>
      <c r="D7" s="105"/>
      <c r="E7" s="106"/>
      <c r="F7" s="22">
        <f ca="1">IF(LEN(INDIRECT(ADDRESS(ROW()-1, COLUMN())))=1,"",INDIRECT(ADDRESS(29,7))-INDIRECT(ADDRESS(29,6)))</f>
        <v>-5</v>
      </c>
      <c r="G7" s="23"/>
      <c r="H7" s="14">
        <f ca="1">IF(LEN(INDIRECT(ADDRESS(ROW()-1, COLUMN())))=1,"",INDIRECT(ADDRESS(39,6))-INDIRECT(ADDRESS(39,7)))</f>
        <v>11</v>
      </c>
      <c r="I7" s="14">
        <f ca="1">IF(LEN(INDIRECT(ADDRESS(ROW()-1, COLUMN())))=1,"",INDIRECT(ADDRESS(42,7))-INDIRECT(ADDRESS(42,6)))</f>
        <v>-4</v>
      </c>
      <c r="J7" s="14">
        <f ca="1">IF(LEN(INDIRECT(ADDRESS(ROW()-1, COLUMN())))=1,"",INDIRECT(ADDRESS(48,6))-INDIRECT(ADDRESS(48,7)))</f>
        <v>-10</v>
      </c>
      <c r="K7" s="15">
        <f ca="1">IF(LEN(INDIRECT(ADDRESS(ROW()-1, COLUMN())))=1,"",INDIRECT(ADDRESS(53,7))-INDIRECT(ADDRESS(53,6)))</f>
        <v>-9</v>
      </c>
      <c r="L7" s="16">
        <f ca="1">IF(LEN(INDIRECT(ADDRESS(ROW()-1, COLUMN())))=1,"",INDIRECT(ADDRESS(22,6))-INDIRECT(ADDRESS(22,7)))</f>
        <v>-6</v>
      </c>
      <c r="M7" s="108"/>
      <c r="N7" s="14">
        <f ca="1">IF(COUNT(F7:L7)=0,"",SUM(F7:L7))</f>
        <v>-23</v>
      </c>
      <c r="O7" s="93"/>
    </row>
    <row r="8" spans="2:16" ht="24" customHeight="1" x14ac:dyDescent="0.25">
      <c r="B8" s="109">
        <v>3</v>
      </c>
      <c r="C8" s="104" t="s">
        <v>25</v>
      </c>
      <c r="D8" s="105"/>
      <c r="E8" s="106"/>
      <c r="F8" s="17" t="str">
        <f ca="1">INDIRECT(ADDRESS(32,6))&amp;":"&amp;INDIRECT(ADDRESS(32,7))</f>
        <v>6:13</v>
      </c>
      <c r="G8" s="19" t="str">
        <f ca="1">INDIRECT(ADDRESS(39,7))&amp;":"&amp;INDIRECT(ADDRESS(39,6))</f>
        <v>2:13</v>
      </c>
      <c r="H8" s="18"/>
      <c r="I8" s="19" t="str">
        <f ca="1">INDIRECT(ADDRESS(49,6))&amp;":"&amp;INDIRECT(ADDRESS(49,7))</f>
        <v>8:10</v>
      </c>
      <c r="J8" s="19" t="str">
        <f ca="1">INDIRECT(ADDRESS(52,7))&amp;":"&amp;INDIRECT(ADDRESS(52,6))</f>
        <v>4:13</v>
      </c>
      <c r="K8" s="20" t="str">
        <f ca="1">INDIRECT(ADDRESS(23,6))&amp;":"&amp;INDIRECT(ADDRESS(23,7))</f>
        <v>3:13</v>
      </c>
      <c r="L8" s="21" t="str">
        <f ca="1">INDIRECT(ADDRESS(28,7))&amp;":"&amp;INDIRECT(ADDRESS(28,6))</f>
        <v>13:8</v>
      </c>
      <c r="M8" s="108">
        <f ca="1">IF(COUNT(F9:L9)=0,"",COUNTIF(F9:L9,"&gt;0")+0.5*COUNTIF(F9:L9,0))</f>
        <v>1</v>
      </c>
      <c r="N8" s="14" t="s">
        <v>41</v>
      </c>
      <c r="O8" s="110">
        <v>7</v>
      </c>
    </row>
    <row r="9" spans="2:16" ht="24" customHeight="1" x14ac:dyDescent="0.25">
      <c r="B9" s="100"/>
      <c r="C9" s="104"/>
      <c r="D9" s="105"/>
      <c r="E9" s="106"/>
      <c r="F9" s="22">
        <f ca="1">IF(LEN(INDIRECT(ADDRESS(ROW()-1, COLUMN())))=1,"",INDIRECT(ADDRESS(32,6))-INDIRECT(ADDRESS(32,7)))</f>
        <v>-7</v>
      </c>
      <c r="G9" s="14">
        <f ca="1">IF(LEN(INDIRECT(ADDRESS(ROW()-1, COLUMN())))=1,"",INDIRECT(ADDRESS(39,7))-INDIRECT(ADDRESS(39,6)))</f>
        <v>-11</v>
      </c>
      <c r="H9" s="23"/>
      <c r="I9" s="14">
        <f ca="1">IF(LEN(INDIRECT(ADDRESS(ROW()-1, COLUMN())))=1,"",INDIRECT(ADDRESS(49,6))-INDIRECT(ADDRESS(49,7)))</f>
        <v>-2</v>
      </c>
      <c r="J9" s="14">
        <f ca="1">IF(LEN(INDIRECT(ADDRESS(ROW()-1, COLUMN())))=1,"",INDIRECT(ADDRESS(52,7))-INDIRECT(ADDRESS(52,6)))</f>
        <v>-9</v>
      </c>
      <c r="K9" s="15">
        <f ca="1">IF(LEN(INDIRECT(ADDRESS(ROW()-1, COLUMN())))=1,"",INDIRECT(ADDRESS(23,6))-INDIRECT(ADDRESS(23,7)))</f>
        <v>-10</v>
      </c>
      <c r="L9" s="16">
        <f ca="1">IF(LEN(INDIRECT(ADDRESS(ROW()-1, COLUMN())))=1,"",INDIRECT(ADDRESS(28,7))-INDIRECT(ADDRESS(28,6)))</f>
        <v>5</v>
      </c>
      <c r="M9" s="108"/>
      <c r="N9" s="14">
        <f ca="1">IF(COUNT(F9:L9)=0,"",SUM(F9:L9))</f>
        <v>-34</v>
      </c>
      <c r="O9" s="93"/>
    </row>
    <row r="10" spans="2:16" ht="24" customHeight="1" x14ac:dyDescent="0.25">
      <c r="B10" s="109">
        <v>4</v>
      </c>
      <c r="C10" s="104" t="s">
        <v>26</v>
      </c>
      <c r="D10" s="105"/>
      <c r="E10" s="106"/>
      <c r="F10" s="17" t="str">
        <f ca="1">INDIRECT(ADDRESS(38,7))&amp;":"&amp;INDIRECT(ADDRESS(38,6))</f>
        <v>5:13</v>
      </c>
      <c r="G10" s="19" t="str">
        <f ca="1">INDIRECT(ADDRESS(42,6))&amp;":"&amp;INDIRECT(ADDRESS(42,7))</f>
        <v>13:9</v>
      </c>
      <c r="H10" s="19" t="str">
        <f ca="1">INDIRECT(ADDRESS(49,7))&amp;":"&amp;INDIRECT(ADDRESS(49,6))</f>
        <v>10:8</v>
      </c>
      <c r="I10" s="18"/>
      <c r="J10" s="19" t="str">
        <f ca="1">INDIRECT(ADDRESS(24,6))&amp;":"&amp;INDIRECT(ADDRESS(24,7))</f>
        <v>4:13</v>
      </c>
      <c r="K10" s="20" t="str">
        <f ca="1">INDIRECT(ADDRESS(27,7))&amp;":"&amp;INDIRECT(ADDRESS(27,6))</f>
        <v>5:13</v>
      </c>
      <c r="L10" s="21" t="str">
        <f ca="1">INDIRECT(ADDRESS(33,6))&amp;":"&amp;INDIRECT(ADDRESS(33,7))</f>
        <v>10:13</v>
      </c>
      <c r="M10" s="108">
        <f ca="1">IF(COUNT(F11:L11)=0,"",COUNTIF(F11:L11,"&gt;0")+0.5*COUNTIF(F11:L11,0))</f>
        <v>2</v>
      </c>
      <c r="N10" s="14" t="s">
        <v>41</v>
      </c>
      <c r="O10" s="110">
        <v>5</v>
      </c>
    </row>
    <row r="11" spans="2:16" ht="24" customHeight="1" x14ac:dyDescent="0.25">
      <c r="B11" s="100"/>
      <c r="C11" s="104"/>
      <c r="D11" s="105"/>
      <c r="E11" s="106"/>
      <c r="F11" s="22">
        <f ca="1">IF(LEN(INDIRECT(ADDRESS(ROW()-1, COLUMN())))=1,"",INDIRECT(ADDRESS(38,7))-INDIRECT(ADDRESS(38,6)))</f>
        <v>-8</v>
      </c>
      <c r="G11" s="14">
        <f ca="1">IF(LEN(INDIRECT(ADDRESS(ROW()-1, COLUMN())))=1,"",INDIRECT(ADDRESS(42,6))-INDIRECT(ADDRESS(42,7)))</f>
        <v>4</v>
      </c>
      <c r="H11" s="14">
        <f ca="1">IF(LEN(INDIRECT(ADDRESS(ROW()-1, COLUMN())))=1,"",INDIRECT(ADDRESS(49,7))-INDIRECT(ADDRESS(49,6)))</f>
        <v>2</v>
      </c>
      <c r="I11" s="23"/>
      <c r="J11" s="14">
        <f ca="1">IF(LEN(INDIRECT(ADDRESS(ROW()-1, COLUMN())))=1,"",INDIRECT(ADDRESS(24,6))-INDIRECT(ADDRESS(24,7)))</f>
        <v>-9</v>
      </c>
      <c r="K11" s="15">
        <f ca="1">IF(LEN(INDIRECT(ADDRESS(ROW()-1, COLUMN())))=1,"",INDIRECT(ADDRESS(27,7))-INDIRECT(ADDRESS(27,6)))</f>
        <v>-8</v>
      </c>
      <c r="L11" s="16">
        <f ca="1">IF(LEN(INDIRECT(ADDRESS(ROW()-1, COLUMN())))=1,"",INDIRECT(ADDRESS(33,6))-INDIRECT(ADDRESS(33,7)))</f>
        <v>-3</v>
      </c>
      <c r="M11" s="108"/>
      <c r="N11" s="14">
        <f ca="1">IF(COUNT(F11:L11)=0,"",SUM(F11:L11))</f>
        <v>-22</v>
      </c>
      <c r="O11" s="93"/>
    </row>
    <row r="12" spans="2:16" ht="24" customHeight="1" x14ac:dyDescent="0.25">
      <c r="B12" s="109">
        <v>5</v>
      </c>
      <c r="C12" s="104" t="s">
        <v>27</v>
      </c>
      <c r="D12" s="105"/>
      <c r="E12" s="106"/>
      <c r="F12" s="17" t="str">
        <f ca="1">INDIRECT(ADDRESS(43,6))&amp;":"&amp;INDIRECT(ADDRESS(43,7))</f>
        <v>8:13</v>
      </c>
      <c r="G12" s="19" t="str">
        <f ca="1">INDIRECT(ADDRESS(48,7))&amp;":"&amp;INDIRECT(ADDRESS(48,6))</f>
        <v>13:3</v>
      </c>
      <c r="H12" s="19" t="str">
        <f ca="1">INDIRECT(ADDRESS(52,6))&amp;":"&amp;INDIRECT(ADDRESS(52,7))</f>
        <v>13:4</v>
      </c>
      <c r="I12" s="19" t="str">
        <f ca="1">INDIRECT(ADDRESS(24,7))&amp;":"&amp;INDIRECT(ADDRESS(24,6))</f>
        <v>13:4</v>
      </c>
      <c r="J12" s="18"/>
      <c r="K12" s="20" t="str">
        <f ca="1">INDIRECT(ADDRESS(34,6))&amp;":"&amp;INDIRECT(ADDRESS(34,7))</f>
        <v>13:12</v>
      </c>
      <c r="L12" s="21" t="str">
        <f ca="1">INDIRECT(ADDRESS(37,7))&amp;":"&amp;INDIRECT(ADDRESS(37,6))</f>
        <v>13:6</v>
      </c>
      <c r="M12" s="108">
        <f ca="1">IF(COUNT(F13:L13)=0,"",COUNTIF(F13:L13,"&gt;0")+0.5*COUNTIF(F13:L13,0))</f>
        <v>5</v>
      </c>
      <c r="N12" s="14"/>
      <c r="O12" s="110">
        <v>2</v>
      </c>
    </row>
    <row r="13" spans="2:16" ht="24" customHeight="1" x14ac:dyDescent="0.25">
      <c r="B13" s="100"/>
      <c r="C13" s="104"/>
      <c r="D13" s="105"/>
      <c r="E13" s="106"/>
      <c r="F13" s="22">
        <f ca="1">IF(LEN(INDIRECT(ADDRESS(ROW()-1, COLUMN())))=1,"",INDIRECT(ADDRESS(43,6))-INDIRECT(ADDRESS(43,7)))</f>
        <v>-5</v>
      </c>
      <c r="G13" s="14">
        <f ca="1">IF(LEN(INDIRECT(ADDRESS(ROW()-1, COLUMN())))=1,"",INDIRECT(ADDRESS(48,7))-INDIRECT(ADDRESS(48,6)))</f>
        <v>10</v>
      </c>
      <c r="H13" s="14">
        <f ca="1">IF(LEN(INDIRECT(ADDRESS(ROW()-1, COLUMN())))=1,"",INDIRECT(ADDRESS(52,6))-INDIRECT(ADDRESS(52,7)))</f>
        <v>9</v>
      </c>
      <c r="I13" s="14">
        <f ca="1">IF(LEN(INDIRECT(ADDRESS(ROW()-1, COLUMN())))=1,"",INDIRECT(ADDRESS(24,7))-INDIRECT(ADDRESS(24,6)))</f>
        <v>9</v>
      </c>
      <c r="J13" s="23"/>
      <c r="K13" s="15">
        <f ca="1">IF(LEN(INDIRECT(ADDRESS(ROW()-1, COLUMN())))=1,"",INDIRECT(ADDRESS(34,6))-INDIRECT(ADDRESS(34,7)))</f>
        <v>1</v>
      </c>
      <c r="L13" s="16">
        <f ca="1">IF(LEN(INDIRECT(ADDRESS(ROW()-1, COLUMN())))=1,"",INDIRECT(ADDRESS(37,7))-INDIRECT(ADDRESS(37,6)))</f>
        <v>7</v>
      </c>
      <c r="M13" s="108"/>
      <c r="N13" s="14">
        <f ca="1">IF(COUNT(F13:L13)=0,"",SUM(F13:L13))</f>
        <v>31</v>
      </c>
      <c r="O13" s="93"/>
    </row>
    <row r="14" spans="2:16" ht="24" customHeight="1" x14ac:dyDescent="0.25">
      <c r="B14" s="109">
        <v>6</v>
      </c>
      <c r="C14" s="104" t="s">
        <v>28</v>
      </c>
      <c r="D14" s="105"/>
      <c r="E14" s="106"/>
      <c r="F14" s="17" t="str">
        <f ca="1">INDIRECT(ADDRESS(47,7))&amp;":"&amp;INDIRECT(ADDRESS(47,6))</f>
        <v>5:13</v>
      </c>
      <c r="G14" s="19" t="str">
        <f ca="1">INDIRECT(ADDRESS(53,6))&amp;":"&amp;INDIRECT(ADDRESS(53,7))</f>
        <v>13:4</v>
      </c>
      <c r="H14" s="19" t="str">
        <f ca="1">INDIRECT(ADDRESS(23,7))&amp;":"&amp;INDIRECT(ADDRESS(23,6))</f>
        <v>13:3</v>
      </c>
      <c r="I14" s="19" t="str">
        <f ca="1">INDIRECT(ADDRESS(27,6))&amp;":"&amp;INDIRECT(ADDRESS(27,7))</f>
        <v>13:5</v>
      </c>
      <c r="J14" s="19" t="str">
        <f ca="1">INDIRECT(ADDRESS(34,7))&amp;":"&amp;INDIRECT(ADDRESS(34,6))</f>
        <v>12:13</v>
      </c>
      <c r="K14" s="24"/>
      <c r="L14" s="21" t="str">
        <f ca="1">INDIRECT(ADDRESS(44,6))&amp;":"&amp;INDIRECT(ADDRESS(44,7))</f>
        <v>13:8</v>
      </c>
      <c r="M14" s="108">
        <f ca="1">IF(COUNT(F15:L15)=0,"",COUNTIF(F15:L15,"&gt;0")+0.5*COUNTIF(F15:L15,0))</f>
        <v>4</v>
      </c>
      <c r="N14" s="14"/>
      <c r="O14" s="110">
        <v>3</v>
      </c>
    </row>
    <row r="15" spans="2:16" ht="24" customHeight="1" x14ac:dyDescent="0.25">
      <c r="B15" s="100"/>
      <c r="C15" s="104"/>
      <c r="D15" s="105"/>
      <c r="E15" s="106"/>
      <c r="F15" s="22">
        <f ca="1">IF(LEN(INDIRECT(ADDRESS(ROW()-1, COLUMN())))=1,"",INDIRECT(ADDRESS(47,7))-INDIRECT(ADDRESS(47,6)))</f>
        <v>-8</v>
      </c>
      <c r="G15" s="14">
        <f ca="1">IF(LEN(INDIRECT(ADDRESS(ROW()-1, COLUMN())))=1,"",INDIRECT(ADDRESS(53,6))-INDIRECT(ADDRESS(53,7)))</f>
        <v>9</v>
      </c>
      <c r="H15" s="14">
        <f ca="1">IF(LEN(INDIRECT(ADDRESS(ROW()-1, COLUMN())))=1,"",INDIRECT(ADDRESS(23,7))-INDIRECT(ADDRESS(23,6)))</f>
        <v>10</v>
      </c>
      <c r="I15" s="14">
        <f ca="1">IF(LEN(INDIRECT(ADDRESS(ROW()-1, COLUMN())))=1,"",INDIRECT(ADDRESS(27,6))-INDIRECT(ADDRESS(27,7)))</f>
        <v>8</v>
      </c>
      <c r="J15" s="14">
        <f ca="1">IF(LEN(INDIRECT(ADDRESS(ROW()-1, COLUMN())))=1,"",INDIRECT(ADDRESS(34,7))-INDIRECT(ADDRESS(34,6)))</f>
        <v>-1</v>
      </c>
      <c r="K15" s="25"/>
      <c r="L15" s="26">
        <f ca="1">IF(LEN(INDIRECT(ADDRESS(ROW()-1, COLUMN())))=1,"",INDIRECT(ADDRESS(44,6))-INDIRECT(ADDRESS(44,7)))</f>
        <v>5</v>
      </c>
      <c r="M15" s="108"/>
      <c r="N15" s="14">
        <f ca="1">IF(COUNT(F15:L15)=0,"",SUM(F15:L15))</f>
        <v>23</v>
      </c>
      <c r="O15" s="93"/>
    </row>
    <row r="16" spans="2:16" ht="24" customHeight="1" x14ac:dyDescent="0.25">
      <c r="B16" s="111">
        <v>7</v>
      </c>
      <c r="C16" s="112" t="s">
        <v>29</v>
      </c>
      <c r="D16" s="113"/>
      <c r="E16" s="114"/>
      <c r="F16" s="27" t="str">
        <f ca="1">INDIRECT(ADDRESS(54,6))&amp;":"&amp;INDIRECT(ADDRESS(54,7))</f>
        <v>0:13</v>
      </c>
      <c r="G16" s="28" t="str">
        <f ca="1">INDIRECT(ADDRESS(22,7))&amp;":"&amp;INDIRECT(ADDRESS(22,6))</f>
        <v>13:7</v>
      </c>
      <c r="H16" s="28" t="str">
        <f ca="1">INDIRECT(ADDRESS(28,6))&amp;":"&amp;INDIRECT(ADDRESS(28,7))</f>
        <v>8:13</v>
      </c>
      <c r="I16" s="28" t="str">
        <f ca="1">INDIRECT(ADDRESS(33,7))&amp;":"&amp;INDIRECT(ADDRESS(33,6))</f>
        <v>13:10</v>
      </c>
      <c r="J16" s="28" t="str">
        <f ca="1">INDIRECT(ADDRESS(37,6))&amp;":"&amp;INDIRECT(ADDRESS(37,7))</f>
        <v>6:13</v>
      </c>
      <c r="K16" s="29" t="str">
        <f ca="1">INDIRECT(ADDRESS(44,7))&amp;":"&amp;INDIRECT(ADDRESS(44,6))</f>
        <v>8:13</v>
      </c>
      <c r="L16" s="30"/>
      <c r="M16" s="108">
        <f ca="1">IF(COUNT(F17:L17)=0,"",COUNTIF(F17:L17,"&gt;0")+0.5*COUNTIF(F17:L17,0))</f>
        <v>2</v>
      </c>
      <c r="N16" s="31" t="s">
        <v>40</v>
      </c>
      <c r="O16" s="119">
        <v>4</v>
      </c>
    </row>
    <row r="17" spans="2:15" ht="24" customHeight="1" thickBot="1" x14ac:dyDescent="0.3">
      <c r="B17" s="123"/>
      <c r="C17" s="124"/>
      <c r="D17" s="125"/>
      <c r="E17" s="126"/>
      <c r="F17" s="32">
        <f ca="1">IF(LEN(INDIRECT(ADDRESS(ROW()-1, COLUMN())))=1,"",INDIRECT(ADDRESS(54,6))-INDIRECT(ADDRESS(54,7)))</f>
        <v>-13</v>
      </c>
      <c r="G17" s="33">
        <f ca="1">IF(LEN(INDIRECT(ADDRESS(ROW()-1, COLUMN())))=1,"",INDIRECT(ADDRESS(22,7))-INDIRECT(ADDRESS(22,6)))</f>
        <v>6</v>
      </c>
      <c r="H17" s="33">
        <f ca="1">IF(LEN(INDIRECT(ADDRESS(ROW()-1, COLUMN())))=1,"",INDIRECT(ADDRESS(28,6))-INDIRECT(ADDRESS(28,7)))</f>
        <v>-5</v>
      </c>
      <c r="I17" s="33">
        <f ca="1">IF(LEN(INDIRECT(ADDRESS(ROW()-1, COLUMN())))=1,"",INDIRECT(ADDRESS(33,7))-INDIRECT(ADDRESS(33,6)))</f>
        <v>3</v>
      </c>
      <c r="J17" s="33">
        <f ca="1">IF(LEN(INDIRECT(ADDRESS(ROW()-1, COLUMN())))=1,"",INDIRECT(ADDRESS(37,6))-INDIRECT(ADDRESS(37,7)))</f>
        <v>-7</v>
      </c>
      <c r="K17" s="34">
        <f ca="1">IF(LEN(INDIRECT(ADDRESS(ROW()-1, COLUMN())))=1,"",INDIRECT(ADDRESS(44,7))-INDIRECT(ADDRESS(44,6)))</f>
        <v>-5</v>
      </c>
      <c r="L17" s="35"/>
      <c r="M17" s="127"/>
      <c r="N17" s="33">
        <f ca="1">IF(COUNT(F17:L17)=0,"",SUM(F17:L17))</f>
        <v>-21</v>
      </c>
      <c r="O17" s="128"/>
    </row>
    <row r="21" spans="2:15" ht="30" customHeight="1" thickBot="1" x14ac:dyDescent="0.3">
      <c r="B21" s="129" t="s">
        <v>4</v>
      </c>
      <c r="C21" s="129"/>
      <c r="D21" s="129"/>
      <c r="E21" s="129"/>
      <c r="F21" s="129"/>
      <c r="G21" s="129"/>
      <c r="H21" s="129"/>
      <c r="I21" s="129"/>
      <c r="J21" s="129"/>
      <c r="K21" s="129"/>
    </row>
    <row r="22" spans="2:15" ht="30" customHeight="1" thickBot="1" x14ac:dyDescent="0.3">
      <c r="B22" s="36">
        <v>2</v>
      </c>
      <c r="C22" s="120" t="str">
        <f ca="1">IF(ISBLANK(INDIRECT(ADDRESS(B22*2+2,3))),"",INDIRECT(ADDRESS(B22*2+2,3)))</f>
        <v>Лебедева Ольга</v>
      </c>
      <c r="D22" s="120"/>
      <c r="E22" s="121"/>
      <c r="F22" s="37">
        <v>7</v>
      </c>
      <c r="G22" s="38">
        <v>13</v>
      </c>
      <c r="H22" s="122" t="str">
        <f ca="1">IF(ISBLANK(INDIRECT(ADDRESS(K22*2+2,3))),"",INDIRECT(ADDRESS(K22*2+2,3)))</f>
        <v>Валибуз Ирина</v>
      </c>
      <c r="I22" s="120"/>
      <c r="J22" s="120"/>
      <c r="K22" s="36">
        <v>7</v>
      </c>
      <c r="L22" s="39" t="s">
        <v>5</v>
      </c>
      <c r="M22" s="40">
        <v>5</v>
      </c>
    </row>
    <row r="23" spans="2:15" ht="30" customHeight="1" thickBot="1" x14ac:dyDescent="0.3">
      <c r="B23" s="36">
        <v>3</v>
      </c>
      <c r="C23" s="120" t="str">
        <f ca="1">IF(ISBLANK(INDIRECT(ADDRESS(B23*2+2,3))),"",INDIRECT(ADDRESS(B23*2+2,3)))</f>
        <v>Кукушкина Галина</v>
      </c>
      <c r="D23" s="120"/>
      <c r="E23" s="121"/>
      <c r="F23" s="37">
        <v>3</v>
      </c>
      <c r="G23" s="38">
        <v>13</v>
      </c>
      <c r="H23" s="122" t="str">
        <f ca="1">IF(ISBLANK(INDIRECT(ADDRESS(K23*2+2,3))),"",INDIRECT(ADDRESS(K23*2+2,3)))</f>
        <v>Кочетова Валерия</v>
      </c>
      <c r="I23" s="120"/>
      <c r="J23" s="120"/>
      <c r="K23" s="36">
        <v>6</v>
      </c>
      <c r="L23" s="39" t="s">
        <v>5</v>
      </c>
      <c r="M23" s="40">
        <v>6</v>
      </c>
    </row>
    <row r="24" spans="2:15" ht="30" customHeight="1" thickBot="1" x14ac:dyDescent="0.3">
      <c r="B24" s="36">
        <v>4</v>
      </c>
      <c r="C24" s="120" t="str">
        <f ca="1">IF(ISBLANK(INDIRECT(ADDRESS(B24*2+2,3))),"",INDIRECT(ADDRESS(B24*2+2,3)))</f>
        <v>Пилипенко Ирина</v>
      </c>
      <c r="D24" s="120"/>
      <c r="E24" s="121"/>
      <c r="F24" s="37">
        <v>4</v>
      </c>
      <c r="G24" s="38">
        <v>13</v>
      </c>
      <c r="H24" s="122" t="str">
        <f ca="1">IF(ISBLANK(INDIRECT(ADDRESS(K24*2+2,3))),"",INDIRECT(ADDRESS(K24*2+2,3)))</f>
        <v>Цепелева Татьяна</v>
      </c>
      <c r="I24" s="120"/>
      <c r="J24" s="120"/>
      <c r="K24" s="36">
        <v>5</v>
      </c>
      <c r="L24" s="39" t="s">
        <v>5</v>
      </c>
      <c r="M24" s="40">
        <v>7</v>
      </c>
    </row>
    <row r="25" spans="2:15" ht="30" customHeight="1" x14ac:dyDescent="0.25"/>
    <row r="26" spans="2:15" ht="30" customHeight="1" thickBot="1" x14ac:dyDescent="0.3">
      <c r="B26" s="129" t="s">
        <v>6</v>
      </c>
      <c r="C26" s="129"/>
      <c r="D26" s="129"/>
      <c r="E26" s="129"/>
      <c r="F26" s="129"/>
      <c r="G26" s="129"/>
      <c r="H26" s="129"/>
      <c r="I26" s="129"/>
      <c r="J26" s="129"/>
      <c r="K26" s="129"/>
    </row>
    <row r="27" spans="2:15" ht="30" customHeight="1" thickBot="1" x14ac:dyDescent="0.3">
      <c r="B27" s="36">
        <v>6</v>
      </c>
      <c r="C27" s="120" t="str">
        <f ca="1">IF(ISBLANK(INDIRECT(ADDRESS(B27*2+2,3))),"",INDIRECT(ADDRESS(B27*2+2,3)))</f>
        <v>Кочетова Валерия</v>
      </c>
      <c r="D27" s="120"/>
      <c r="E27" s="121"/>
      <c r="F27" s="37">
        <v>13</v>
      </c>
      <c r="G27" s="38">
        <v>5</v>
      </c>
      <c r="H27" s="122" t="str">
        <f ca="1">IF(ISBLANK(INDIRECT(ADDRESS(K27*2+2,3))),"",INDIRECT(ADDRESS(K27*2+2,3)))</f>
        <v>Пилипенко Ирина</v>
      </c>
      <c r="I27" s="120"/>
      <c r="J27" s="120"/>
      <c r="K27" s="36">
        <v>4</v>
      </c>
      <c r="L27" s="39" t="s">
        <v>5</v>
      </c>
      <c r="M27" s="40">
        <v>1</v>
      </c>
    </row>
    <row r="28" spans="2:15" ht="30" customHeight="1" thickBot="1" x14ac:dyDescent="0.3">
      <c r="B28" s="36">
        <v>7</v>
      </c>
      <c r="C28" s="120" t="str">
        <f ca="1">IF(ISBLANK(INDIRECT(ADDRESS(B28*2+2,3))),"",INDIRECT(ADDRESS(B28*2+2,3)))</f>
        <v>Валибуз Ирина</v>
      </c>
      <c r="D28" s="120"/>
      <c r="E28" s="121"/>
      <c r="F28" s="37">
        <v>8</v>
      </c>
      <c r="G28" s="38">
        <v>13</v>
      </c>
      <c r="H28" s="122" t="str">
        <f ca="1">IF(ISBLANK(INDIRECT(ADDRESS(K28*2+2,3))),"",INDIRECT(ADDRESS(K28*2+2,3)))</f>
        <v>Кукушкина Галина</v>
      </c>
      <c r="I28" s="120"/>
      <c r="J28" s="120"/>
      <c r="K28" s="36">
        <v>3</v>
      </c>
      <c r="L28" s="39" t="s">
        <v>5</v>
      </c>
      <c r="M28" s="40">
        <v>2</v>
      </c>
    </row>
    <row r="29" spans="2:15" ht="30" customHeight="1" thickBot="1" x14ac:dyDescent="0.3">
      <c r="B29" s="36">
        <v>1</v>
      </c>
      <c r="C29" s="120" t="str">
        <f ca="1">IF(ISBLANK(INDIRECT(ADDRESS(B29*2+2,3))),"",INDIRECT(ADDRESS(B29*2+2,3)))</f>
        <v>Фёдорова Анна</v>
      </c>
      <c r="D29" s="120"/>
      <c r="E29" s="121"/>
      <c r="F29" s="37">
        <v>13</v>
      </c>
      <c r="G29" s="38">
        <v>8</v>
      </c>
      <c r="H29" s="122" t="str">
        <f ca="1">IF(ISBLANK(INDIRECT(ADDRESS(K29*2+2,3))),"",INDIRECT(ADDRESS(K29*2+2,3)))</f>
        <v>Лебедева Ольга</v>
      </c>
      <c r="I29" s="120"/>
      <c r="J29" s="120"/>
      <c r="K29" s="36">
        <v>2</v>
      </c>
      <c r="L29" s="39" t="s">
        <v>5</v>
      </c>
      <c r="M29" s="40">
        <v>3</v>
      </c>
    </row>
    <row r="30" spans="2:15" ht="30" customHeight="1" x14ac:dyDescent="0.25"/>
    <row r="31" spans="2:15" ht="30" customHeight="1" thickBot="1" x14ac:dyDescent="0.3">
      <c r="B31" s="129" t="s">
        <v>7</v>
      </c>
      <c r="C31" s="129"/>
      <c r="D31" s="129"/>
      <c r="E31" s="129"/>
      <c r="F31" s="129"/>
      <c r="G31" s="129"/>
      <c r="H31" s="129"/>
      <c r="I31" s="129"/>
      <c r="J31" s="129"/>
      <c r="K31" s="129"/>
    </row>
    <row r="32" spans="2:15" ht="30" customHeight="1" thickBot="1" x14ac:dyDescent="0.3">
      <c r="B32" s="36">
        <v>3</v>
      </c>
      <c r="C32" s="120" t="str">
        <f ca="1">IF(ISBLANK(INDIRECT(ADDRESS(B32*2+2,3))),"",INDIRECT(ADDRESS(B32*2+2,3)))</f>
        <v>Кукушкина Галина</v>
      </c>
      <c r="D32" s="120"/>
      <c r="E32" s="121"/>
      <c r="F32" s="37">
        <v>6</v>
      </c>
      <c r="G32" s="38">
        <v>13</v>
      </c>
      <c r="H32" s="122" t="str">
        <f ca="1">IF(ISBLANK(INDIRECT(ADDRESS(K32*2+2,3))),"",INDIRECT(ADDRESS(K32*2+2,3)))</f>
        <v>Фёдорова Анна</v>
      </c>
      <c r="I32" s="120"/>
      <c r="J32" s="120"/>
      <c r="K32" s="36">
        <v>1</v>
      </c>
      <c r="L32" s="39" t="s">
        <v>5</v>
      </c>
      <c r="M32" s="40">
        <v>7</v>
      </c>
    </row>
    <row r="33" spans="2:13" ht="30" customHeight="1" thickBot="1" x14ac:dyDescent="0.3">
      <c r="B33" s="36">
        <v>4</v>
      </c>
      <c r="C33" s="120" t="str">
        <f ca="1">IF(ISBLANK(INDIRECT(ADDRESS(B33*2+2,3))),"",INDIRECT(ADDRESS(B33*2+2,3)))</f>
        <v>Пилипенко Ирина</v>
      </c>
      <c r="D33" s="120"/>
      <c r="E33" s="121"/>
      <c r="F33" s="37">
        <v>10</v>
      </c>
      <c r="G33" s="38">
        <v>13</v>
      </c>
      <c r="H33" s="122" t="str">
        <f ca="1">IF(ISBLANK(INDIRECT(ADDRESS(K33*2+2,3))),"",INDIRECT(ADDRESS(K33*2+2,3)))</f>
        <v>Валибуз Ирина</v>
      </c>
      <c r="I33" s="120"/>
      <c r="J33" s="120"/>
      <c r="K33" s="36">
        <v>7</v>
      </c>
      <c r="L33" s="39" t="s">
        <v>5</v>
      </c>
      <c r="M33" s="40">
        <v>6</v>
      </c>
    </row>
    <row r="34" spans="2:13" ht="30" customHeight="1" thickBot="1" x14ac:dyDescent="0.3">
      <c r="B34" s="36">
        <v>5</v>
      </c>
      <c r="C34" s="120" t="str">
        <f ca="1">IF(ISBLANK(INDIRECT(ADDRESS(B34*2+2,3))),"",INDIRECT(ADDRESS(B34*2+2,3)))</f>
        <v>Цепелева Татьяна</v>
      </c>
      <c r="D34" s="120"/>
      <c r="E34" s="121"/>
      <c r="F34" s="37">
        <v>13</v>
      </c>
      <c r="G34" s="38">
        <v>12</v>
      </c>
      <c r="H34" s="122" t="str">
        <f ca="1">IF(ISBLANK(INDIRECT(ADDRESS(K34*2+2,3))),"",INDIRECT(ADDRESS(K34*2+2,3)))</f>
        <v>Кочетова Валерия</v>
      </c>
      <c r="I34" s="120"/>
      <c r="J34" s="120"/>
      <c r="K34" s="36">
        <v>6</v>
      </c>
      <c r="L34" s="39" t="s">
        <v>5</v>
      </c>
      <c r="M34" s="40">
        <v>5</v>
      </c>
    </row>
    <row r="35" spans="2:13" ht="30" customHeight="1" x14ac:dyDescent="0.25"/>
    <row r="36" spans="2:13" ht="30" customHeight="1" thickBot="1" x14ac:dyDescent="0.3">
      <c r="B36" s="129" t="s">
        <v>8</v>
      </c>
      <c r="C36" s="129"/>
      <c r="D36" s="129"/>
      <c r="E36" s="129"/>
      <c r="F36" s="129"/>
      <c r="G36" s="129"/>
      <c r="H36" s="129"/>
      <c r="I36" s="129"/>
      <c r="J36" s="129"/>
      <c r="K36" s="129"/>
    </row>
    <row r="37" spans="2:13" ht="30" customHeight="1" thickBot="1" x14ac:dyDescent="0.3">
      <c r="B37" s="36">
        <v>7</v>
      </c>
      <c r="C37" s="120" t="str">
        <f ca="1">IF(ISBLANK(INDIRECT(ADDRESS(B37*2+2,3))),"",INDIRECT(ADDRESS(B37*2+2,3)))</f>
        <v>Валибуз Ирина</v>
      </c>
      <c r="D37" s="120"/>
      <c r="E37" s="121"/>
      <c r="F37" s="37">
        <v>6</v>
      </c>
      <c r="G37" s="38">
        <v>13</v>
      </c>
      <c r="H37" s="122" t="str">
        <f ca="1">IF(ISBLANK(INDIRECT(ADDRESS(K37*2+2,3))),"",INDIRECT(ADDRESS(K37*2+2,3)))</f>
        <v>Цепелева Татьяна</v>
      </c>
      <c r="I37" s="120"/>
      <c r="J37" s="120"/>
      <c r="K37" s="36">
        <v>5</v>
      </c>
      <c r="L37" s="39" t="s">
        <v>5</v>
      </c>
      <c r="M37" s="40">
        <v>1</v>
      </c>
    </row>
    <row r="38" spans="2:13" ht="30" customHeight="1" thickBot="1" x14ac:dyDescent="0.3">
      <c r="B38" s="36">
        <v>1</v>
      </c>
      <c r="C38" s="120" t="str">
        <f ca="1">IF(ISBLANK(INDIRECT(ADDRESS(B38*2+2,3))),"",INDIRECT(ADDRESS(B38*2+2,3)))</f>
        <v>Фёдорова Анна</v>
      </c>
      <c r="D38" s="120"/>
      <c r="E38" s="121"/>
      <c r="F38" s="37">
        <v>13</v>
      </c>
      <c r="G38" s="38">
        <v>5</v>
      </c>
      <c r="H38" s="122" t="str">
        <f ca="1">IF(ISBLANK(INDIRECT(ADDRESS(K38*2+2,3))),"",INDIRECT(ADDRESS(K38*2+2,3)))</f>
        <v>Пилипенко Ирина</v>
      </c>
      <c r="I38" s="120"/>
      <c r="J38" s="120"/>
      <c r="K38" s="36">
        <v>4</v>
      </c>
      <c r="L38" s="39" t="s">
        <v>5</v>
      </c>
      <c r="M38" s="40">
        <v>2</v>
      </c>
    </row>
    <row r="39" spans="2:13" ht="30" customHeight="1" thickBot="1" x14ac:dyDescent="0.3">
      <c r="B39" s="36">
        <v>2</v>
      </c>
      <c r="C39" s="120" t="str">
        <f ca="1">IF(ISBLANK(INDIRECT(ADDRESS(B39*2+2,3))),"",INDIRECT(ADDRESS(B39*2+2,3)))</f>
        <v>Лебедева Ольга</v>
      </c>
      <c r="D39" s="120"/>
      <c r="E39" s="121"/>
      <c r="F39" s="37">
        <v>13</v>
      </c>
      <c r="G39" s="38">
        <v>2</v>
      </c>
      <c r="H39" s="122" t="str">
        <f ca="1">IF(ISBLANK(INDIRECT(ADDRESS(K39*2+2,3))),"",INDIRECT(ADDRESS(K39*2+2,3)))</f>
        <v>Кукушкина Галина</v>
      </c>
      <c r="I39" s="120"/>
      <c r="J39" s="120"/>
      <c r="K39" s="36">
        <v>3</v>
      </c>
      <c r="L39" s="39" t="s">
        <v>5</v>
      </c>
      <c r="M39" s="40">
        <v>3</v>
      </c>
    </row>
    <row r="40" spans="2:13" ht="30" customHeight="1" x14ac:dyDescent="0.25"/>
    <row r="41" spans="2:13" ht="30" customHeight="1" thickBot="1" x14ac:dyDescent="0.3">
      <c r="B41" s="129" t="s">
        <v>9</v>
      </c>
      <c r="C41" s="129"/>
      <c r="D41" s="129"/>
      <c r="E41" s="129"/>
      <c r="F41" s="129"/>
      <c r="G41" s="129"/>
      <c r="H41" s="129"/>
      <c r="I41" s="129"/>
      <c r="J41" s="129"/>
      <c r="K41" s="129"/>
    </row>
    <row r="42" spans="2:13" ht="30" customHeight="1" thickBot="1" x14ac:dyDescent="0.3">
      <c r="B42" s="36">
        <v>4</v>
      </c>
      <c r="C42" s="120" t="str">
        <f ca="1">IF(ISBLANK(INDIRECT(ADDRESS(B42*2+2,3))),"",INDIRECT(ADDRESS(B42*2+2,3)))</f>
        <v>Пилипенко Ирина</v>
      </c>
      <c r="D42" s="120"/>
      <c r="E42" s="121"/>
      <c r="F42" s="37">
        <v>13</v>
      </c>
      <c r="G42" s="38">
        <v>9</v>
      </c>
      <c r="H42" s="122" t="str">
        <f ca="1">IF(ISBLANK(INDIRECT(ADDRESS(K42*2+2,3))),"",INDIRECT(ADDRESS(K42*2+2,3)))</f>
        <v>Лебедева Ольга</v>
      </c>
      <c r="I42" s="120"/>
      <c r="J42" s="120"/>
      <c r="K42" s="36">
        <v>2</v>
      </c>
      <c r="L42" s="39" t="s">
        <v>5</v>
      </c>
      <c r="M42" s="40">
        <v>5</v>
      </c>
    </row>
    <row r="43" spans="2:13" ht="30" customHeight="1" thickBot="1" x14ac:dyDescent="0.3">
      <c r="B43" s="36">
        <v>5</v>
      </c>
      <c r="C43" s="120" t="str">
        <f ca="1">IF(ISBLANK(INDIRECT(ADDRESS(B43*2+2,3))),"",INDIRECT(ADDRESS(B43*2+2,3)))</f>
        <v>Цепелева Татьяна</v>
      </c>
      <c r="D43" s="120"/>
      <c r="E43" s="121"/>
      <c r="F43" s="37">
        <v>8</v>
      </c>
      <c r="G43" s="38">
        <v>13</v>
      </c>
      <c r="H43" s="122" t="str">
        <f ca="1">IF(ISBLANK(INDIRECT(ADDRESS(K43*2+2,3))),"",INDIRECT(ADDRESS(K43*2+2,3)))</f>
        <v>Фёдорова Анна</v>
      </c>
      <c r="I43" s="120"/>
      <c r="J43" s="120"/>
      <c r="K43" s="36">
        <v>1</v>
      </c>
      <c r="L43" s="39" t="s">
        <v>5</v>
      </c>
      <c r="M43" s="40">
        <v>6</v>
      </c>
    </row>
    <row r="44" spans="2:13" ht="30" customHeight="1" thickBot="1" x14ac:dyDescent="0.3">
      <c r="B44" s="36">
        <v>6</v>
      </c>
      <c r="C44" s="120" t="str">
        <f ca="1">IF(ISBLANK(INDIRECT(ADDRESS(B44*2+2,3))),"",INDIRECT(ADDRESS(B44*2+2,3)))</f>
        <v>Кочетова Валерия</v>
      </c>
      <c r="D44" s="120"/>
      <c r="E44" s="121"/>
      <c r="F44" s="37">
        <v>13</v>
      </c>
      <c r="G44" s="38">
        <v>8</v>
      </c>
      <c r="H44" s="122" t="str">
        <f ca="1">IF(ISBLANK(INDIRECT(ADDRESS(K44*2+2,3))),"",INDIRECT(ADDRESS(K44*2+2,3)))</f>
        <v>Валибуз Ирина</v>
      </c>
      <c r="I44" s="120"/>
      <c r="J44" s="120"/>
      <c r="K44" s="36">
        <v>7</v>
      </c>
      <c r="L44" s="39" t="s">
        <v>5</v>
      </c>
      <c r="M44" s="40">
        <v>7</v>
      </c>
    </row>
    <row r="45" spans="2:13" ht="30" customHeight="1" x14ac:dyDescent="0.25"/>
    <row r="46" spans="2:13" ht="30" customHeight="1" thickBot="1" x14ac:dyDescent="0.3">
      <c r="B46" s="129" t="s">
        <v>10</v>
      </c>
      <c r="C46" s="129"/>
      <c r="D46" s="129"/>
      <c r="E46" s="129"/>
      <c r="F46" s="129"/>
      <c r="G46" s="129"/>
      <c r="H46" s="129"/>
      <c r="I46" s="129"/>
      <c r="J46" s="129"/>
      <c r="K46" s="129"/>
    </row>
    <row r="47" spans="2:13" ht="30" customHeight="1" thickBot="1" x14ac:dyDescent="0.3">
      <c r="B47" s="36">
        <v>1</v>
      </c>
      <c r="C47" s="120" t="str">
        <f ca="1">IF(ISBLANK(INDIRECT(ADDRESS(B47*2+2,3))),"",INDIRECT(ADDRESS(B47*2+2,3)))</f>
        <v>Фёдорова Анна</v>
      </c>
      <c r="D47" s="120"/>
      <c r="E47" s="121"/>
      <c r="F47" s="37">
        <v>13</v>
      </c>
      <c r="G47" s="38">
        <v>5</v>
      </c>
      <c r="H47" s="122" t="str">
        <f ca="1">IF(ISBLANK(INDIRECT(ADDRESS(K47*2+2,3))),"",INDIRECT(ADDRESS(K47*2+2,3)))</f>
        <v>Кочетова Валерия</v>
      </c>
      <c r="I47" s="120"/>
      <c r="J47" s="120"/>
      <c r="K47" s="36">
        <v>6</v>
      </c>
      <c r="L47" s="39" t="s">
        <v>5</v>
      </c>
      <c r="M47" s="40">
        <v>1</v>
      </c>
    </row>
    <row r="48" spans="2:13" ht="30" customHeight="1" thickBot="1" x14ac:dyDescent="0.3">
      <c r="B48" s="36">
        <v>2</v>
      </c>
      <c r="C48" s="120" t="str">
        <f ca="1">IF(ISBLANK(INDIRECT(ADDRESS(B48*2+2,3))),"",INDIRECT(ADDRESS(B48*2+2,3)))</f>
        <v>Лебедева Ольга</v>
      </c>
      <c r="D48" s="120"/>
      <c r="E48" s="121"/>
      <c r="F48" s="37">
        <v>3</v>
      </c>
      <c r="G48" s="38">
        <v>13</v>
      </c>
      <c r="H48" s="122" t="str">
        <f ca="1">IF(ISBLANK(INDIRECT(ADDRESS(K48*2+2,3))),"",INDIRECT(ADDRESS(K48*2+2,3)))</f>
        <v>Цепелева Татьяна</v>
      </c>
      <c r="I48" s="120"/>
      <c r="J48" s="120"/>
      <c r="K48" s="36">
        <v>5</v>
      </c>
      <c r="L48" s="39" t="s">
        <v>5</v>
      </c>
      <c r="M48" s="40">
        <v>2</v>
      </c>
    </row>
    <row r="49" spans="2:13" ht="30" customHeight="1" thickBot="1" x14ac:dyDescent="0.3">
      <c r="B49" s="36">
        <v>3</v>
      </c>
      <c r="C49" s="120" t="str">
        <f ca="1">IF(ISBLANK(INDIRECT(ADDRESS(B49*2+2,3))),"",INDIRECT(ADDRESS(B49*2+2,3)))</f>
        <v>Кукушкина Галина</v>
      </c>
      <c r="D49" s="120"/>
      <c r="E49" s="121"/>
      <c r="F49" s="37">
        <v>8</v>
      </c>
      <c r="G49" s="38">
        <v>10</v>
      </c>
      <c r="H49" s="122" t="str">
        <f ca="1">IF(ISBLANK(INDIRECT(ADDRESS(K49*2+2,3))),"",INDIRECT(ADDRESS(K49*2+2,3)))</f>
        <v>Пилипенко Ирина</v>
      </c>
      <c r="I49" s="120"/>
      <c r="J49" s="120"/>
      <c r="K49" s="36">
        <v>4</v>
      </c>
      <c r="L49" s="39" t="s">
        <v>5</v>
      </c>
      <c r="M49" s="40">
        <v>3</v>
      </c>
    </row>
    <row r="50" spans="2:13" ht="30" customHeight="1" x14ac:dyDescent="0.25"/>
    <row r="51" spans="2:13" ht="30" customHeight="1" thickBot="1" x14ac:dyDescent="0.3">
      <c r="B51" s="129" t="s">
        <v>11</v>
      </c>
      <c r="C51" s="129"/>
      <c r="D51" s="129"/>
      <c r="E51" s="129"/>
      <c r="F51" s="129"/>
      <c r="G51" s="129"/>
      <c r="H51" s="129"/>
      <c r="I51" s="129"/>
      <c r="J51" s="129"/>
      <c r="K51" s="129"/>
    </row>
    <row r="52" spans="2:13" ht="30" customHeight="1" thickBot="1" x14ac:dyDescent="0.3">
      <c r="B52" s="36">
        <v>5</v>
      </c>
      <c r="C52" s="120" t="str">
        <f ca="1">IF(ISBLANK(INDIRECT(ADDRESS(B52*2+2,3))),"",INDIRECT(ADDRESS(B52*2+2,3)))</f>
        <v>Цепелева Татьяна</v>
      </c>
      <c r="D52" s="120"/>
      <c r="E52" s="121"/>
      <c r="F52" s="37">
        <v>13</v>
      </c>
      <c r="G52" s="38">
        <v>4</v>
      </c>
      <c r="H52" s="122" t="str">
        <f ca="1">IF(ISBLANK(INDIRECT(ADDRESS(K52*2+2,3))),"",INDIRECT(ADDRESS(K52*2+2,3)))</f>
        <v>Кукушкина Галина</v>
      </c>
      <c r="I52" s="120"/>
      <c r="J52" s="120"/>
      <c r="K52" s="36">
        <v>3</v>
      </c>
      <c r="L52" s="39" t="s">
        <v>5</v>
      </c>
      <c r="M52" s="40">
        <v>7</v>
      </c>
    </row>
    <row r="53" spans="2:13" ht="30" customHeight="1" thickBot="1" x14ac:dyDescent="0.3">
      <c r="B53" s="36">
        <v>6</v>
      </c>
      <c r="C53" s="120" t="str">
        <f ca="1">IF(ISBLANK(INDIRECT(ADDRESS(B53*2+2,3))),"",INDIRECT(ADDRESS(B53*2+2,3)))</f>
        <v>Кочетова Валерия</v>
      </c>
      <c r="D53" s="120"/>
      <c r="E53" s="121"/>
      <c r="F53" s="37">
        <v>13</v>
      </c>
      <c r="G53" s="38">
        <v>4</v>
      </c>
      <c r="H53" s="122" t="str">
        <f ca="1">IF(ISBLANK(INDIRECT(ADDRESS(K53*2+2,3))),"",INDIRECT(ADDRESS(K53*2+2,3)))</f>
        <v>Лебедева Ольга</v>
      </c>
      <c r="I53" s="120"/>
      <c r="J53" s="120"/>
      <c r="K53" s="36">
        <v>2</v>
      </c>
      <c r="L53" s="39" t="s">
        <v>5</v>
      </c>
      <c r="M53" s="40">
        <v>5</v>
      </c>
    </row>
    <row r="54" spans="2:13" ht="30" customHeight="1" thickBot="1" x14ac:dyDescent="0.3">
      <c r="B54" s="36">
        <v>7</v>
      </c>
      <c r="C54" s="120" t="str">
        <f ca="1">IF(ISBLANK(INDIRECT(ADDRESS(B54*2+2,3))),"",INDIRECT(ADDRESS(B54*2+2,3)))</f>
        <v>Валибуз Ирина</v>
      </c>
      <c r="D54" s="120"/>
      <c r="E54" s="121"/>
      <c r="F54" s="37">
        <v>0</v>
      </c>
      <c r="G54" s="38">
        <v>13</v>
      </c>
      <c r="H54" s="122" t="str">
        <f ca="1">IF(ISBLANK(INDIRECT(ADDRESS(K54*2+2,3))),"",INDIRECT(ADDRESS(K54*2+2,3)))</f>
        <v>Фёдорова Анна</v>
      </c>
      <c r="I54" s="120"/>
      <c r="J54" s="120"/>
      <c r="K54" s="36">
        <v>1</v>
      </c>
      <c r="L54" s="39" t="s">
        <v>5</v>
      </c>
      <c r="M54" s="40">
        <v>6</v>
      </c>
    </row>
    <row r="57" spans="2:13" x14ac:dyDescent="0.25">
      <c r="B57" s="95" t="s">
        <v>21</v>
      </c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5"/>
    </row>
    <row r="58" spans="2:13" x14ac:dyDescent="0.25"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</row>
    <row r="59" spans="2:13" x14ac:dyDescent="0.25"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</row>
    <row r="60" spans="2:13" x14ac:dyDescent="0.25">
      <c r="B60" s="95" t="s">
        <v>22</v>
      </c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95"/>
    </row>
  </sheetData>
  <mergeCells count="81">
    <mergeCell ref="B1:P1"/>
    <mergeCell ref="C3:E3"/>
    <mergeCell ref="B4:B5"/>
    <mergeCell ref="C4:E5"/>
    <mergeCell ref="M4:M5"/>
    <mergeCell ref="O4:O5"/>
    <mergeCell ref="B6:B7"/>
    <mergeCell ref="C6:E7"/>
    <mergeCell ref="M6:M7"/>
    <mergeCell ref="O6:O7"/>
    <mergeCell ref="B8:B9"/>
    <mergeCell ref="C8:E9"/>
    <mergeCell ref="M8:M9"/>
    <mergeCell ref="O8:O9"/>
    <mergeCell ref="B10:B11"/>
    <mergeCell ref="C10:E11"/>
    <mergeCell ref="M10:M11"/>
    <mergeCell ref="O10:O11"/>
    <mergeCell ref="B12:B13"/>
    <mergeCell ref="C12:E13"/>
    <mergeCell ref="M12:M13"/>
    <mergeCell ref="O12:O13"/>
    <mergeCell ref="B14:B15"/>
    <mergeCell ref="C14:E15"/>
    <mergeCell ref="M14:M15"/>
    <mergeCell ref="O14:O15"/>
    <mergeCell ref="B16:B17"/>
    <mergeCell ref="C16:E17"/>
    <mergeCell ref="M16:M17"/>
    <mergeCell ref="O16:O17"/>
    <mergeCell ref="C29:E29"/>
    <mergeCell ref="H29:J29"/>
    <mergeCell ref="B21:K21"/>
    <mergeCell ref="C22:E22"/>
    <mergeCell ref="H22:J22"/>
    <mergeCell ref="C23:E23"/>
    <mergeCell ref="H23:J23"/>
    <mergeCell ref="C24:E24"/>
    <mergeCell ref="H24:J24"/>
    <mergeCell ref="B26:K26"/>
    <mergeCell ref="C27:E27"/>
    <mergeCell ref="H27:J27"/>
    <mergeCell ref="C28:E28"/>
    <mergeCell ref="H28:J28"/>
    <mergeCell ref="C39:E39"/>
    <mergeCell ref="H39:J39"/>
    <mergeCell ref="B31:K31"/>
    <mergeCell ref="C32:E32"/>
    <mergeCell ref="H32:J32"/>
    <mergeCell ref="C33:E33"/>
    <mergeCell ref="H33:J33"/>
    <mergeCell ref="C34:E34"/>
    <mergeCell ref="H34:J34"/>
    <mergeCell ref="B36:K36"/>
    <mergeCell ref="C37:E37"/>
    <mergeCell ref="H37:J37"/>
    <mergeCell ref="C38:E38"/>
    <mergeCell ref="H38:J38"/>
    <mergeCell ref="C49:E49"/>
    <mergeCell ref="H49:J49"/>
    <mergeCell ref="B41:K41"/>
    <mergeCell ref="C42:E42"/>
    <mergeCell ref="H42:J42"/>
    <mergeCell ref="C43:E43"/>
    <mergeCell ref="H43:J43"/>
    <mergeCell ref="C44:E44"/>
    <mergeCell ref="H44:J44"/>
    <mergeCell ref="B46:K46"/>
    <mergeCell ref="C47:E47"/>
    <mergeCell ref="H47:J47"/>
    <mergeCell ref="C48:E48"/>
    <mergeCell ref="H48:J48"/>
    <mergeCell ref="B57:M57"/>
    <mergeCell ref="B60:M60"/>
    <mergeCell ref="B51:K51"/>
    <mergeCell ref="C52:E52"/>
    <mergeCell ref="H52:J52"/>
    <mergeCell ref="C53:E53"/>
    <mergeCell ref="H53:J53"/>
    <mergeCell ref="C54:E54"/>
    <mergeCell ref="H54:J54"/>
  </mergeCells>
  <printOptions horizontalCentered="1"/>
  <pageMargins left="0.31496062992125984" right="0.31496062992125984" top="0.35433070866141736" bottom="0.55118110236220474" header="0.31496062992125984" footer="0.31496062992125984"/>
  <pageSetup paperSize="9" scale="53" orientation="portrait" horizontalDpi="4294967293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AE8A3-CBF4-4FD7-A687-5C88F9EF0371}">
  <sheetPr>
    <pageSetUpPr fitToPage="1"/>
  </sheetPr>
  <dimension ref="A1:P60"/>
  <sheetViews>
    <sheetView workbookViewId="0">
      <selection activeCell="K4" sqref="K4"/>
    </sheetView>
  </sheetViews>
  <sheetFormatPr defaultRowHeight="15" x14ac:dyDescent="0.25"/>
  <cols>
    <col min="1" max="1" width="4" style="41" customWidth="1"/>
    <col min="2" max="15" width="10.28515625" customWidth="1"/>
  </cols>
  <sheetData>
    <row r="1" spans="2:16" ht="59.25" customHeight="1" x14ac:dyDescent="0.25">
      <c r="B1" s="94" t="s">
        <v>58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55"/>
    </row>
    <row r="2" spans="2:16" ht="15.75" thickBot="1" x14ac:dyDescent="0.3"/>
    <row r="3" spans="2:16" ht="30" customHeight="1" thickBot="1" x14ac:dyDescent="0.3">
      <c r="B3" s="1"/>
      <c r="C3" s="96" t="s">
        <v>0</v>
      </c>
      <c r="D3" s="97"/>
      <c r="E3" s="98"/>
      <c r="F3" s="2">
        <v>1</v>
      </c>
      <c r="G3" s="2">
        <v>2</v>
      </c>
      <c r="H3" s="2">
        <v>3</v>
      </c>
      <c r="I3" s="3">
        <v>4</v>
      </c>
      <c r="J3" s="3">
        <v>5</v>
      </c>
      <c r="K3" s="3">
        <v>6</v>
      </c>
      <c r="L3" s="4">
        <v>7</v>
      </c>
      <c r="M3" s="5" t="s">
        <v>1</v>
      </c>
      <c r="N3" s="2" t="s">
        <v>2</v>
      </c>
      <c r="O3" s="6" t="s">
        <v>3</v>
      </c>
    </row>
    <row r="4" spans="2:16" ht="24" customHeight="1" x14ac:dyDescent="0.25">
      <c r="B4" s="99">
        <v>1</v>
      </c>
      <c r="C4" s="101" t="s">
        <v>33</v>
      </c>
      <c r="D4" s="102"/>
      <c r="E4" s="103"/>
      <c r="F4" s="8"/>
      <c r="G4" s="9" t="str">
        <f ca="1">INDIRECT(ADDRESS(29,6))&amp;":"&amp;INDIRECT(ADDRESS(29,7))</f>
        <v>13:9</v>
      </c>
      <c r="H4" s="9" t="str">
        <f ca="1">INDIRECT(ADDRESS(32,7))&amp;":"&amp;INDIRECT(ADDRESS(32,6))</f>
        <v>12:6</v>
      </c>
      <c r="I4" s="9" t="str">
        <f ca="1">INDIRECT(ADDRESS(38,6))&amp;":"&amp;INDIRECT(ADDRESS(38,7))</f>
        <v>13:1</v>
      </c>
      <c r="J4" s="9" t="str">
        <f ca="1">INDIRECT(ADDRESS(43,7))&amp;":"&amp;INDIRECT(ADDRESS(43,6))</f>
        <v>13:0</v>
      </c>
      <c r="K4" s="10" t="str">
        <f ca="1">INDIRECT(ADDRESS(47,6))&amp;":"&amp;INDIRECT(ADDRESS(47,7))</f>
        <v>13:1</v>
      </c>
      <c r="L4" s="11" t="str">
        <f ca="1">INDIRECT(ADDRESS(54,7))&amp;":"&amp;INDIRECT(ADDRESS(54,6))</f>
        <v>13:5</v>
      </c>
      <c r="M4" s="107">
        <f ca="1">IF(COUNT(F5:L5)=0,"",COUNTIF(F5:L5,"&gt;0")+0.5*COUNTIF(F5:L5,0))</f>
        <v>6</v>
      </c>
      <c r="N4" s="12"/>
      <c r="O4" s="92">
        <v>1</v>
      </c>
    </row>
    <row r="5" spans="2:16" ht="24" customHeight="1" x14ac:dyDescent="0.25">
      <c r="B5" s="100"/>
      <c r="C5" s="104"/>
      <c r="D5" s="105"/>
      <c r="E5" s="106"/>
      <c r="F5" s="13"/>
      <c r="G5" s="14">
        <f ca="1">IF(LEN(INDIRECT(ADDRESS(ROW()-1, COLUMN())))=1,"",INDIRECT(ADDRESS(29,6))-INDIRECT(ADDRESS(29,7)))</f>
        <v>4</v>
      </c>
      <c r="H5" s="14">
        <f ca="1">IF(LEN(INDIRECT(ADDRESS(ROW()-1, COLUMN())))=1,"",INDIRECT(ADDRESS(32,7))-INDIRECT(ADDRESS(32,6)))</f>
        <v>6</v>
      </c>
      <c r="I5" s="14">
        <f ca="1">IF(LEN(INDIRECT(ADDRESS(ROW()-1, COLUMN())))=1,"",INDIRECT(ADDRESS(38,6))-INDIRECT(ADDRESS(38,7)))</f>
        <v>12</v>
      </c>
      <c r="J5" s="14">
        <f ca="1">IF(LEN(INDIRECT(ADDRESS(ROW()-1, COLUMN())))=1,"",INDIRECT(ADDRESS(43,7))-INDIRECT(ADDRESS(43,6)))</f>
        <v>13</v>
      </c>
      <c r="K5" s="15">
        <f ca="1">IF(LEN(INDIRECT(ADDRESS(ROW()-1, COLUMN())))=1,"",INDIRECT(ADDRESS(47,6))-INDIRECT(ADDRESS(47,7)))</f>
        <v>12</v>
      </c>
      <c r="L5" s="16">
        <f ca="1">IF(LEN(INDIRECT(ADDRESS(ROW()-1, COLUMN())))=1,"",INDIRECT(ADDRESS(54,7))-INDIRECT(ADDRESS(54,6)))</f>
        <v>8</v>
      </c>
      <c r="M5" s="108"/>
      <c r="N5" s="14">
        <f ca="1">IF(COUNT(F5:L5)=0,"",SUM(F5:L5))</f>
        <v>55</v>
      </c>
      <c r="O5" s="93"/>
    </row>
    <row r="6" spans="2:16" ht="24" customHeight="1" x14ac:dyDescent="0.25">
      <c r="B6" s="109">
        <v>2</v>
      </c>
      <c r="C6" s="104" t="s">
        <v>34</v>
      </c>
      <c r="D6" s="105"/>
      <c r="E6" s="106"/>
      <c r="F6" s="17" t="str">
        <f ca="1">INDIRECT(ADDRESS(29,7))&amp;":"&amp;INDIRECT(ADDRESS(29,6))</f>
        <v>9:13</v>
      </c>
      <c r="G6" s="18"/>
      <c r="H6" s="19" t="str">
        <f ca="1">INDIRECT(ADDRESS(39,6))&amp;":"&amp;INDIRECT(ADDRESS(39,7))</f>
        <v>13:0</v>
      </c>
      <c r="I6" s="19" t="str">
        <f ca="1">INDIRECT(ADDRESS(42,7))&amp;":"&amp;INDIRECT(ADDRESS(42,6))</f>
        <v>13:10</v>
      </c>
      <c r="J6" s="19" t="str">
        <f ca="1">INDIRECT(ADDRESS(48,6))&amp;":"&amp;INDIRECT(ADDRESS(48,7))</f>
        <v>13:7</v>
      </c>
      <c r="K6" s="20" t="str">
        <f ca="1">INDIRECT(ADDRESS(53,7))&amp;":"&amp;INDIRECT(ADDRESS(53,6))</f>
        <v>10:13</v>
      </c>
      <c r="L6" s="21" t="str">
        <f ca="1">INDIRECT(ADDRESS(22,6))&amp;":"&amp;INDIRECT(ADDRESS(22,7))</f>
        <v>1:13</v>
      </c>
      <c r="M6" s="108">
        <f ca="1">IF(COUNT(F7:L7)=0,"",COUNTIF(F7:L7,"&gt;0")+0.5*COUNTIF(F7:L7,0))</f>
        <v>3</v>
      </c>
      <c r="N6" s="14" t="s">
        <v>40</v>
      </c>
      <c r="O6" s="110">
        <v>3</v>
      </c>
    </row>
    <row r="7" spans="2:16" ht="24" customHeight="1" x14ac:dyDescent="0.25">
      <c r="B7" s="100"/>
      <c r="C7" s="104"/>
      <c r="D7" s="105"/>
      <c r="E7" s="106"/>
      <c r="F7" s="22">
        <f ca="1">IF(LEN(INDIRECT(ADDRESS(ROW()-1, COLUMN())))=1,"",INDIRECT(ADDRESS(29,7))-INDIRECT(ADDRESS(29,6)))</f>
        <v>-4</v>
      </c>
      <c r="G7" s="23"/>
      <c r="H7" s="14">
        <f ca="1">IF(LEN(INDIRECT(ADDRESS(ROW()-1, COLUMN())))=1,"",INDIRECT(ADDRESS(39,6))-INDIRECT(ADDRESS(39,7)))</f>
        <v>13</v>
      </c>
      <c r="I7" s="14">
        <f ca="1">IF(LEN(INDIRECT(ADDRESS(ROW()-1, COLUMN())))=1,"",INDIRECT(ADDRESS(42,7))-INDIRECT(ADDRESS(42,6)))</f>
        <v>3</v>
      </c>
      <c r="J7" s="14">
        <f ca="1">IF(LEN(INDIRECT(ADDRESS(ROW()-1, COLUMN())))=1,"",INDIRECT(ADDRESS(48,6))-INDIRECT(ADDRESS(48,7)))</f>
        <v>6</v>
      </c>
      <c r="K7" s="15">
        <f ca="1">IF(LEN(INDIRECT(ADDRESS(ROW()-1, COLUMN())))=1,"",INDIRECT(ADDRESS(53,7))-INDIRECT(ADDRESS(53,6)))</f>
        <v>-3</v>
      </c>
      <c r="L7" s="16">
        <f ca="1">IF(LEN(INDIRECT(ADDRESS(ROW()-1, COLUMN())))=1,"",INDIRECT(ADDRESS(22,6))-INDIRECT(ADDRESS(22,7)))</f>
        <v>-12</v>
      </c>
      <c r="M7" s="108"/>
      <c r="N7" s="14">
        <f ca="1">IF(COUNT(F7:L7)=0,"",SUM(F7:L7))</f>
        <v>3</v>
      </c>
      <c r="O7" s="93"/>
    </row>
    <row r="8" spans="2:16" ht="24" customHeight="1" x14ac:dyDescent="0.25">
      <c r="B8" s="109">
        <v>3</v>
      </c>
      <c r="C8" s="104" t="s">
        <v>35</v>
      </c>
      <c r="D8" s="105"/>
      <c r="E8" s="106"/>
      <c r="F8" s="17" t="str">
        <f ca="1">INDIRECT(ADDRESS(32,6))&amp;":"&amp;INDIRECT(ADDRESS(32,7))</f>
        <v>6:12</v>
      </c>
      <c r="G8" s="19" t="str">
        <f ca="1">INDIRECT(ADDRESS(39,7))&amp;":"&amp;INDIRECT(ADDRESS(39,6))</f>
        <v>0:13</v>
      </c>
      <c r="H8" s="18"/>
      <c r="I8" s="19" t="str">
        <f ca="1">INDIRECT(ADDRESS(49,6))&amp;":"&amp;INDIRECT(ADDRESS(49,7))</f>
        <v>13:2</v>
      </c>
      <c r="J8" s="19" t="str">
        <f ca="1">INDIRECT(ADDRESS(52,7))&amp;":"&amp;INDIRECT(ADDRESS(52,6))</f>
        <v>6:13</v>
      </c>
      <c r="K8" s="20" t="str">
        <f ca="1">INDIRECT(ADDRESS(23,6))&amp;":"&amp;INDIRECT(ADDRESS(23,7))</f>
        <v>13:12</v>
      </c>
      <c r="L8" s="21" t="str">
        <f ca="1">INDIRECT(ADDRESS(28,7))&amp;":"&amp;INDIRECT(ADDRESS(28,6))</f>
        <v>13:8</v>
      </c>
      <c r="M8" s="108">
        <f ca="1">IF(COUNT(F9:L9)=0,"",COUNTIF(F9:L9,"&gt;0")+0.5*COUNTIF(F9:L9,0))</f>
        <v>3</v>
      </c>
      <c r="N8" s="14" t="s">
        <v>41</v>
      </c>
      <c r="O8" s="110">
        <v>4</v>
      </c>
    </row>
    <row r="9" spans="2:16" ht="24" customHeight="1" x14ac:dyDescent="0.25">
      <c r="B9" s="100"/>
      <c r="C9" s="104"/>
      <c r="D9" s="105"/>
      <c r="E9" s="106"/>
      <c r="F9" s="22">
        <f ca="1">IF(LEN(INDIRECT(ADDRESS(ROW()-1, COLUMN())))=1,"",INDIRECT(ADDRESS(32,6))-INDIRECT(ADDRESS(32,7)))</f>
        <v>-6</v>
      </c>
      <c r="G9" s="14">
        <f ca="1">IF(LEN(INDIRECT(ADDRESS(ROW()-1, COLUMN())))=1,"",INDIRECT(ADDRESS(39,7))-INDIRECT(ADDRESS(39,6)))</f>
        <v>-13</v>
      </c>
      <c r="H9" s="23"/>
      <c r="I9" s="14">
        <f ca="1">IF(LEN(INDIRECT(ADDRESS(ROW()-1, COLUMN())))=1,"",INDIRECT(ADDRESS(49,6))-INDIRECT(ADDRESS(49,7)))</f>
        <v>11</v>
      </c>
      <c r="J9" s="14">
        <f ca="1">IF(LEN(INDIRECT(ADDRESS(ROW()-1, COLUMN())))=1,"",INDIRECT(ADDRESS(52,7))-INDIRECT(ADDRESS(52,6)))</f>
        <v>-7</v>
      </c>
      <c r="K9" s="15">
        <f ca="1">IF(LEN(INDIRECT(ADDRESS(ROW()-1, COLUMN())))=1,"",INDIRECT(ADDRESS(23,6))-INDIRECT(ADDRESS(23,7)))</f>
        <v>1</v>
      </c>
      <c r="L9" s="16">
        <f ca="1">IF(LEN(INDIRECT(ADDRESS(ROW()-1, COLUMN())))=1,"",INDIRECT(ADDRESS(28,7))-INDIRECT(ADDRESS(28,6)))</f>
        <v>5</v>
      </c>
      <c r="M9" s="108"/>
      <c r="N9" s="14">
        <f ca="1">IF(COUNT(F9:L9)=0,"",SUM(F9:L9))</f>
        <v>-9</v>
      </c>
      <c r="O9" s="93"/>
    </row>
    <row r="10" spans="2:16" ht="24" customHeight="1" x14ac:dyDescent="0.25">
      <c r="B10" s="109">
        <v>4</v>
      </c>
      <c r="C10" s="104" t="s">
        <v>36</v>
      </c>
      <c r="D10" s="105"/>
      <c r="E10" s="106"/>
      <c r="F10" s="17" t="str">
        <f ca="1">INDIRECT(ADDRESS(38,7))&amp;":"&amp;INDIRECT(ADDRESS(38,6))</f>
        <v>1:13</v>
      </c>
      <c r="G10" s="19" t="str">
        <f ca="1">INDIRECT(ADDRESS(42,6))&amp;":"&amp;INDIRECT(ADDRESS(42,7))</f>
        <v>10:13</v>
      </c>
      <c r="H10" s="19" t="str">
        <f ca="1">INDIRECT(ADDRESS(49,7))&amp;":"&amp;INDIRECT(ADDRESS(49,6))</f>
        <v>2:13</v>
      </c>
      <c r="I10" s="18"/>
      <c r="J10" s="19" t="str">
        <f ca="1">INDIRECT(ADDRESS(24,6))&amp;":"&amp;INDIRECT(ADDRESS(24,7))</f>
        <v>13:7</v>
      </c>
      <c r="K10" s="20" t="str">
        <f ca="1">INDIRECT(ADDRESS(27,7))&amp;":"&amp;INDIRECT(ADDRESS(27,6))</f>
        <v>13:9</v>
      </c>
      <c r="L10" s="21" t="str">
        <f ca="1">INDIRECT(ADDRESS(33,6))&amp;":"&amp;INDIRECT(ADDRESS(33,7))</f>
        <v>3:13</v>
      </c>
      <c r="M10" s="108">
        <f ca="1">IF(COUNT(F11:L11)=0,"",COUNTIF(F11:L11,"&gt;0")+0.5*COUNTIF(F11:L11,0))</f>
        <v>2</v>
      </c>
      <c r="N10" s="14" t="s">
        <v>40</v>
      </c>
      <c r="O10" s="110">
        <v>5</v>
      </c>
    </row>
    <row r="11" spans="2:16" ht="24" customHeight="1" x14ac:dyDescent="0.25">
      <c r="B11" s="100"/>
      <c r="C11" s="104"/>
      <c r="D11" s="105"/>
      <c r="E11" s="106"/>
      <c r="F11" s="22">
        <f ca="1">IF(LEN(INDIRECT(ADDRESS(ROW()-1, COLUMN())))=1,"",INDIRECT(ADDRESS(38,7))-INDIRECT(ADDRESS(38,6)))</f>
        <v>-12</v>
      </c>
      <c r="G11" s="14">
        <f ca="1">IF(LEN(INDIRECT(ADDRESS(ROW()-1, COLUMN())))=1,"",INDIRECT(ADDRESS(42,6))-INDIRECT(ADDRESS(42,7)))</f>
        <v>-3</v>
      </c>
      <c r="H11" s="14">
        <f ca="1">IF(LEN(INDIRECT(ADDRESS(ROW()-1, COLUMN())))=1,"",INDIRECT(ADDRESS(49,7))-INDIRECT(ADDRESS(49,6)))</f>
        <v>-11</v>
      </c>
      <c r="I11" s="23"/>
      <c r="J11" s="14">
        <f ca="1">IF(LEN(INDIRECT(ADDRESS(ROW()-1, COLUMN())))=1,"",INDIRECT(ADDRESS(24,6))-INDIRECT(ADDRESS(24,7)))</f>
        <v>6</v>
      </c>
      <c r="K11" s="15">
        <f ca="1">IF(LEN(INDIRECT(ADDRESS(ROW()-1, COLUMN())))=1,"",INDIRECT(ADDRESS(27,7))-INDIRECT(ADDRESS(27,6)))</f>
        <v>4</v>
      </c>
      <c r="L11" s="16">
        <f ca="1">IF(LEN(INDIRECT(ADDRESS(ROW()-1, COLUMN())))=1,"",INDIRECT(ADDRESS(33,6))-INDIRECT(ADDRESS(33,7)))</f>
        <v>-10</v>
      </c>
      <c r="M11" s="108"/>
      <c r="N11" s="14">
        <f ca="1">IF(COUNT(F11:L11)=0,"",SUM(F11:L11))</f>
        <v>-26</v>
      </c>
      <c r="O11" s="93"/>
    </row>
    <row r="12" spans="2:16" ht="24" customHeight="1" x14ac:dyDescent="0.25">
      <c r="B12" s="109">
        <v>5</v>
      </c>
      <c r="C12" s="104" t="s">
        <v>37</v>
      </c>
      <c r="D12" s="105"/>
      <c r="E12" s="106"/>
      <c r="F12" s="17" t="str">
        <f ca="1">INDIRECT(ADDRESS(43,6))&amp;":"&amp;INDIRECT(ADDRESS(43,7))</f>
        <v>0:13</v>
      </c>
      <c r="G12" s="19" t="str">
        <f ca="1">INDIRECT(ADDRESS(48,7))&amp;":"&amp;INDIRECT(ADDRESS(48,6))</f>
        <v>7:13</v>
      </c>
      <c r="H12" s="19" t="str">
        <f ca="1">INDIRECT(ADDRESS(52,6))&amp;":"&amp;INDIRECT(ADDRESS(52,7))</f>
        <v>13:6</v>
      </c>
      <c r="I12" s="19" t="str">
        <f ca="1">INDIRECT(ADDRESS(24,7))&amp;":"&amp;INDIRECT(ADDRESS(24,6))</f>
        <v>7:13</v>
      </c>
      <c r="J12" s="18"/>
      <c r="K12" s="20" t="str">
        <f ca="1">INDIRECT(ADDRESS(34,6))&amp;":"&amp;INDIRECT(ADDRESS(34,7))</f>
        <v>2:13</v>
      </c>
      <c r="L12" s="21" t="str">
        <f ca="1">INDIRECT(ADDRESS(37,7))&amp;":"&amp;INDIRECT(ADDRESS(37,6))</f>
        <v>6:13</v>
      </c>
      <c r="M12" s="108">
        <f ca="1">IF(COUNT(F13:L13)=0,"",COUNTIF(F13:L13,"&gt;0")+0.5*COUNTIF(F13:L13,0))</f>
        <v>1</v>
      </c>
      <c r="N12" s="14"/>
      <c r="O12" s="110">
        <v>7</v>
      </c>
    </row>
    <row r="13" spans="2:16" ht="24" customHeight="1" x14ac:dyDescent="0.25">
      <c r="B13" s="100"/>
      <c r="C13" s="104"/>
      <c r="D13" s="105"/>
      <c r="E13" s="106"/>
      <c r="F13" s="22">
        <f ca="1">IF(LEN(INDIRECT(ADDRESS(ROW()-1, COLUMN())))=1,"",INDIRECT(ADDRESS(43,6))-INDIRECT(ADDRESS(43,7)))</f>
        <v>-13</v>
      </c>
      <c r="G13" s="14">
        <f ca="1">IF(LEN(INDIRECT(ADDRESS(ROW()-1, COLUMN())))=1,"",INDIRECT(ADDRESS(48,7))-INDIRECT(ADDRESS(48,6)))</f>
        <v>-6</v>
      </c>
      <c r="H13" s="14">
        <f ca="1">IF(LEN(INDIRECT(ADDRESS(ROW()-1, COLUMN())))=1,"",INDIRECT(ADDRESS(52,6))-INDIRECT(ADDRESS(52,7)))</f>
        <v>7</v>
      </c>
      <c r="I13" s="14">
        <f ca="1">IF(LEN(INDIRECT(ADDRESS(ROW()-1, COLUMN())))=1,"",INDIRECT(ADDRESS(24,7))-INDIRECT(ADDRESS(24,6)))</f>
        <v>-6</v>
      </c>
      <c r="J13" s="23"/>
      <c r="K13" s="15">
        <f ca="1">IF(LEN(INDIRECT(ADDRESS(ROW()-1, COLUMN())))=1,"",INDIRECT(ADDRESS(34,6))-INDIRECT(ADDRESS(34,7)))</f>
        <v>-11</v>
      </c>
      <c r="L13" s="16">
        <f ca="1">IF(LEN(INDIRECT(ADDRESS(ROW()-1, COLUMN())))=1,"",INDIRECT(ADDRESS(37,7))-INDIRECT(ADDRESS(37,6)))</f>
        <v>-7</v>
      </c>
      <c r="M13" s="108"/>
      <c r="N13" s="14">
        <f ca="1">IF(COUNT(F13:L13)=0,"",SUM(F13:L13))</f>
        <v>-36</v>
      </c>
      <c r="O13" s="93"/>
    </row>
    <row r="14" spans="2:16" ht="24" customHeight="1" x14ac:dyDescent="0.25">
      <c r="B14" s="109">
        <v>6</v>
      </c>
      <c r="C14" s="104" t="s">
        <v>38</v>
      </c>
      <c r="D14" s="105"/>
      <c r="E14" s="106"/>
      <c r="F14" s="17" t="str">
        <f ca="1">INDIRECT(ADDRESS(47,7))&amp;":"&amp;INDIRECT(ADDRESS(47,6))</f>
        <v>1:13</v>
      </c>
      <c r="G14" s="19" t="str">
        <f ca="1">INDIRECT(ADDRESS(53,6))&amp;":"&amp;INDIRECT(ADDRESS(53,7))</f>
        <v>13:10</v>
      </c>
      <c r="H14" s="19" t="str">
        <f ca="1">INDIRECT(ADDRESS(23,7))&amp;":"&amp;INDIRECT(ADDRESS(23,6))</f>
        <v>12:13</v>
      </c>
      <c r="I14" s="19" t="str">
        <f ca="1">INDIRECT(ADDRESS(27,6))&amp;":"&amp;INDIRECT(ADDRESS(27,7))</f>
        <v>9:13</v>
      </c>
      <c r="J14" s="19" t="str">
        <f ca="1">INDIRECT(ADDRESS(34,7))&amp;":"&amp;INDIRECT(ADDRESS(34,6))</f>
        <v>13:2</v>
      </c>
      <c r="K14" s="24"/>
      <c r="L14" s="21" t="str">
        <f ca="1">INDIRECT(ADDRESS(44,6))&amp;":"&amp;INDIRECT(ADDRESS(44,7))</f>
        <v>2:13</v>
      </c>
      <c r="M14" s="108">
        <f ca="1">IF(COUNT(F15:L15)=0,"",COUNTIF(F15:L15,"&gt;0")+0.5*COUNTIF(F15:L15,0))</f>
        <v>2</v>
      </c>
      <c r="N14" s="14" t="s">
        <v>41</v>
      </c>
      <c r="O14" s="110">
        <v>6</v>
      </c>
    </row>
    <row r="15" spans="2:16" ht="24" customHeight="1" x14ac:dyDescent="0.25">
      <c r="B15" s="100"/>
      <c r="C15" s="104"/>
      <c r="D15" s="105"/>
      <c r="E15" s="106"/>
      <c r="F15" s="22">
        <f ca="1">IF(LEN(INDIRECT(ADDRESS(ROW()-1, COLUMN())))=1,"",INDIRECT(ADDRESS(47,7))-INDIRECT(ADDRESS(47,6)))</f>
        <v>-12</v>
      </c>
      <c r="G15" s="14">
        <f ca="1">IF(LEN(INDIRECT(ADDRESS(ROW()-1, COLUMN())))=1,"",INDIRECT(ADDRESS(53,6))-INDIRECT(ADDRESS(53,7)))</f>
        <v>3</v>
      </c>
      <c r="H15" s="14">
        <f ca="1">IF(LEN(INDIRECT(ADDRESS(ROW()-1, COLUMN())))=1,"",INDIRECT(ADDRESS(23,7))-INDIRECT(ADDRESS(23,6)))</f>
        <v>-1</v>
      </c>
      <c r="I15" s="14">
        <f ca="1">IF(LEN(INDIRECT(ADDRESS(ROW()-1, COLUMN())))=1,"",INDIRECT(ADDRESS(27,6))-INDIRECT(ADDRESS(27,7)))</f>
        <v>-4</v>
      </c>
      <c r="J15" s="14">
        <f ca="1">IF(LEN(INDIRECT(ADDRESS(ROW()-1, COLUMN())))=1,"",INDIRECT(ADDRESS(34,7))-INDIRECT(ADDRESS(34,6)))</f>
        <v>11</v>
      </c>
      <c r="K15" s="25"/>
      <c r="L15" s="26">
        <f ca="1">IF(LEN(INDIRECT(ADDRESS(ROW()-1, COLUMN())))=1,"",INDIRECT(ADDRESS(44,6))-INDIRECT(ADDRESS(44,7)))</f>
        <v>-11</v>
      </c>
      <c r="M15" s="108"/>
      <c r="N15" s="14">
        <f ca="1">IF(COUNT(F15:L15)=0,"",SUM(F15:L15))</f>
        <v>-14</v>
      </c>
      <c r="O15" s="93"/>
    </row>
    <row r="16" spans="2:16" ht="24" customHeight="1" x14ac:dyDescent="0.25">
      <c r="B16" s="111">
        <v>7</v>
      </c>
      <c r="C16" s="112" t="s">
        <v>39</v>
      </c>
      <c r="D16" s="113"/>
      <c r="E16" s="114"/>
      <c r="F16" s="27" t="str">
        <f ca="1">INDIRECT(ADDRESS(54,6))&amp;":"&amp;INDIRECT(ADDRESS(54,7))</f>
        <v>5:13</v>
      </c>
      <c r="G16" s="28" t="str">
        <f ca="1">INDIRECT(ADDRESS(22,7))&amp;":"&amp;INDIRECT(ADDRESS(22,6))</f>
        <v>13:1</v>
      </c>
      <c r="H16" s="28" t="str">
        <f ca="1">INDIRECT(ADDRESS(28,6))&amp;":"&amp;INDIRECT(ADDRESS(28,7))</f>
        <v>8:13</v>
      </c>
      <c r="I16" s="28" t="str">
        <f ca="1">INDIRECT(ADDRESS(33,7))&amp;":"&amp;INDIRECT(ADDRESS(33,6))</f>
        <v>13:3</v>
      </c>
      <c r="J16" s="28" t="str">
        <f ca="1">INDIRECT(ADDRESS(37,6))&amp;":"&amp;INDIRECT(ADDRESS(37,7))</f>
        <v>13:6</v>
      </c>
      <c r="K16" s="29" t="str">
        <f ca="1">INDIRECT(ADDRESS(44,7))&amp;":"&amp;INDIRECT(ADDRESS(44,6))</f>
        <v>13:2</v>
      </c>
      <c r="L16" s="30"/>
      <c r="M16" s="108">
        <f ca="1">IF(COUNT(F17:L17)=0,"",COUNTIF(F17:L17,"&gt;0")+0.5*COUNTIF(F17:L17,0))</f>
        <v>4</v>
      </c>
      <c r="N16" s="31"/>
      <c r="O16" s="119">
        <v>2</v>
      </c>
    </row>
    <row r="17" spans="2:15" ht="24" customHeight="1" thickBot="1" x14ac:dyDescent="0.3">
      <c r="B17" s="123"/>
      <c r="C17" s="124"/>
      <c r="D17" s="125"/>
      <c r="E17" s="126"/>
      <c r="F17" s="32">
        <f ca="1">IF(LEN(INDIRECT(ADDRESS(ROW()-1, COLUMN())))=1,"",INDIRECT(ADDRESS(54,6))-INDIRECT(ADDRESS(54,7)))</f>
        <v>-8</v>
      </c>
      <c r="G17" s="33">
        <f ca="1">IF(LEN(INDIRECT(ADDRESS(ROW()-1, COLUMN())))=1,"",INDIRECT(ADDRESS(22,7))-INDIRECT(ADDRESS(22,6)))</f>
        <v>12</v>
      </c>
      <c r="H17" s="33">
        <f ca="1">IF(LEN(INDIRECT(ADDRESS(ROW()-1, COLUMN())))=1,"",INDIRECT(ADDRESS(28,6))-INDIRECT(ADDRESS(28,7)))</f>
        <v>-5</v>
      </c>
      <c r="I17" s="33">
        <f ca="1">IF(LEN(INDIRECT(ADDRESS(ROW()-1, COLUMN())))=1,"",INDIRECT(ADDRESS(33,7))-INDIRECT(ADDRESS(33,6)))</f>
        <v>10</v>
      </c>
      <c r="J17" s="33">
        <f ca="1">IF(LEN(INDIRECT(ADDRESS(ROW()-1, COLUMN())))=1,"",INDIRECT(ADDRESS(37,6))-INDIRECT(ADDRESS(37,7)))</f>
        <v>7</v>
      </c>
      <c r="K17" s="34">
        <f ca="1">IF(LEN(INDIRECT(ADDRESS(ROW()-1, COLUMN())))=1,"",INDIRECT(ADDRESS(44,7))-INDIRECT(ADDRESS(44,6)))</f>
        <v>11</v>
      </c>
      <c r="L17" s="35"/>
      <c r="M17" s="127"/>
      <c r="N17" s="33">
        <f ca="1">IF(COUNT(F17:L17)=0,"",SUM(F17:L17))</f>
        <v>27</v>
      </c>
      <c r="O17" s="128"/>
    </row>
    <row r="21" spans="2:15" ht="30" customHeight="1" thickBot="1" x14ac:dyDescent="0.3">
      <c r="B21" s="129" t="s">
        <v>4</v>
      </c>
      <c r="C21" s="129"/>
      <c r="D21" s="129"/>
      <c r="E21" s="129"/>
      <c r="F21" s="129"/>
      <c r="G21" s="129"/>
      <c r="H21" s="129"/>
      <c r="I21" s="129"/>
      <c r="J21" s="129"/>
      <c r="K21" s="129"/>
    </row>
    <row r="22" spans="2:15" ht="30" customHeight="1" thickBot="1" x14ac:dyDescent="0.3">
      <c r="B22" s="36">
        <v>2</v>
      </c>
      <c r="C22" s="120" t="str">
        <f ca="1">IF(ISBLANK(INDIRECT(ADDRESS(B22*2+2,3))),"",INDIRECT(ADDRESS(B22*2+2,3)))</f>
        <v>Лукин, Лукина</v>
      </c>
      <c r="D22" s="120"/>
      <c r="E22" s="121"/>
      <c r="F22" s="37">
        <v>1</v>
      </c>
      <c r="G22" s="38">
        <v>13</v>
      </c>
      <c r="H22" s="122" t="str">
        <f ca="1">IF(ISBLANK(INDIRECT(ADDRESS(K22*2+2,3))),"",INDIRECT(ADDRESS(K22*2+2,3)))</f>
        <v>Еремин, Цепелева</v>
      </c>
      <c r="I22" s="120"/>
      <c r="J22" s="120"/>
      <c r="K22" s="36">
        <v>7</v>
      </c>
      <c r="L22" s="39" t="s">
        <v>5</v>
      </c>
      <c r="M22" s="40">
        <v>1</v>
      </c>
    </row>
    <row r="23" spans="2:15" ht="30" customHeight="1" thickBot="1" x14ac:dyDescent="0.3">
      <c r="B23" s="36">
        <v>3</v>
      </c>
      <c r="C23" s="120" t="str">
        <f ca="1">IF(ISBLANK(INDIRECT(ADDRESS(B23*2+2,3))),"",INDIRECT(ADDRESS(B23*2+2,3)))</f>
        <v>Нечаев, Кочетова</v>
      </c>
      <c r="D23" s="120"/>
      <c r="E23" s="121"/>
      <c r="F23" s="37">
        <v>13</v>
      </c>
      <c r="G23" s="38">
        <v>12</v>
      </c>
      <c r="H23" s="122" t="str">
        <f ca="1">IF(ISBLANK(INDIRECT(ADDRESS(K23*2+2,3))),"",INDIRECT(ADDRESS(K23*2+2,3)))</f>
        <v>Валибуз П., Валибуз И.</v>
      </c>
      <c r="I23" s="120"/>
      <c r="J23" s="120"/>
      <c r="K23" s="36">
        <v>6</v>
      </c>
      <c r="L23" s="39" t="s">
        <v>5</v>
      </c>
      <c r="M23" s="40">
        <v>2</v>
      </c>
    </row>
    <row r="24" spans="2:15" ht="30" customHeight="1" thickBot="1" x14ac:dyDescent="0.3">
      <c r="B24" s="36">
        <v>4</v>
      </c>
      <c r="C24" s="120" t="str">
        <f ca="1">IF(ISBLANK(INDIRECT(ADDRESS(B24*2+2,3))),"",INDIRECT(ADDRESS(B24*2+2,3)))</f>
        <v>Федорова, Пилипенко</v>
      </c>
      <c r="D24" s="120"/>
      <c r="E24" s="121"/>
      <c r="F24" s="37">
        <v>13</v>
      </c>
      <c r="G24" s="38">
        <v>7</v>
      </c>
      <c r="H24" s="122" t="str">
        <f ca="1">IF(ISBLANK(INDIRECT(ADDRESS(K24*2+2,3))),"",INDIRECT(ADDRESS(K24*2+2,3)))</f>
        <v>Лебедева, Кукушкина</v>
      </c>
      <c r="I24" s="120"/>
      <c r="J24" s="120"/>
      <c r="K24" s="36">
        <v>5</v>
      </c>
      <c r="L24" s="39" t="s">
        <v>5</v>
      </c>
      <c r="M24" s="40">
        <v>3</v>
      </c>
    </row>
    <row r="25" spans="2:15" ht="30" customHeight="1" x14ac:dyDescent="0.25"/>
    <row r="26" spans="2:15" ht="30" customHeight="1" thickBot="1" x14ac:dyDescent="0.3">
      <c r="B26" s="129" t="s">
        <v>6</v>
      </c>
      <c r="C26" s="129"/>
      <c r="D26" s="129"/>
      <c r="E26" s="129"/>
      <c r="F26" s="129"/>
      <c r="G26" s="129"/>
      <c r="H26" s="129"/>
      <c r="I26" s="129"/>
      <c r="J26" s="129"/>
      <c r="K26" s="129"/>
    </row>
    <row r="27" spans="2:15" ht="30" customHeight="1" thickBot="1" x14ac:dyDescent="0.3">
      <c r="B27" s="36">
        <v>6</v>
      </c>
      <c r="C27" s="120" t="str">
        <f ca="1">IF(ISBLANK(INDIRECT(ADDRESS(B27*2+2,3))),"",INDIRECT(ADDRESS(B27*2+2,3)))</f>
        <v>Валибуз П., Валибуз И.</v>
      </c>
      <c r="D27" s="120"/>
      <c r="E27" s="121"/>
      <c r="F27" s="37">
        <v>9</v>
      </c>
      <c r="G27" s="38">
        <v>13</v>
      </c>
      <c r="H27" s="122" t="str">
        <f ca="1">IF(ISBLANK(INDIRECT(ADDRESS(K27*2+2,3))),"",INDIRECT(ADDRESS(K27*2+2,3)))</f>
        <v>Федорова, Пилипенко</v>
      </c>
      <c r="I27" s="120"/>
      <c r="J27" s="120"/>
      <c r="K27" s="36">
        <v>4</v>
      </c>
      <c r="L27" s="39" t="s">
        <v>5</v>
      </c>
      <c r="M27" s="40">
        <v>2</v>
      </c>
    </row>
    <row r="28" spans="2:15" ht="30" customHeight="1" thickBot="1" x14ac:dyDescent="0.3">
      <c r="B28" s="36">
        <v>7</v>
      </c>
      <c r="C28" s="120" t="str">
        <f ca="1">IF(ISBLANK(INDIRECT(ADDRESS(B28*2+2,3))),"",INDIRECT(ADDRESS(B28*2+2,3)))</f>
        <v>Еремин, Цепелева</v>
      </c>
      <c r="D28" s="120"/>
      <c r="E28" s="121"/>
      <c r="F28" s="37">
        <v>8</v>
      </c>
      <c r="G28" s="38">
        <v>13</v>
      </c>
      <c r="H28" s="122" t="str">
        <f ca="1">IF(ISBLANK(INDIRECT(ADDRESS(K28*2+2,3))),"",INDIRECT(ADDRESS(K28*2+2,3)))</f>
        <v>Нечаев, Кочетова</v>
      </c>
      <c r="I28" s="120"/>
      <c r="J28" s="120"/>
      <c r="K28" s="36">
        <v>3</v>
      </c>
      <c r="L28" s="39" t="s">
        <v>5</v>
      </c>
      <c r="M28" s="40">
        <v>3</v>
      </c>
    </row>
    <row r="29" spans="2:15" ht="30" customHeight="1" thickBot="1" x14ac:dyDescent="0.3">
      <c r="B29" s="36">
        <v>1</v>
      </c>
      <c r="C29" s="120" t="str">
        <f ca="1">IF(ISBLANK(INDIRECT(ADDRESS(B29*2+2,3))),"",INDIRECT(ADDRESS(B29*2+2,3)))</f>
        <v>Капран-Индаяти, Маркина</v>
      </c>
      <c r="D29" s="120"/>
      <c r="E29" s="121"/>
      <c r="F29" s="37">
        <v>13</v>
      </c>
      <c r="G29" s="38">
        <v>9</v>
      </c>
      <c r="H29" s="122" t="str">
        <f ca="1">IF(ISBLANK(INDIRECT(ADDRESS(K29*2+2,3))),"",INDIRECT(ADDRESS(K29*2+2,3)))</f>
        <v>Лукин, Лукина</v>
      </c>
      <c r="I29" s="120"/>
      <c r="J29" s="120"/>
      <c r="K29" s="36">
        <v>2</v>
      </c>
      <c r="L29" s="39" t="s">
        <v>5</v>
      </c>
      <c r="M29" s="40">
        <v>1</v>
      </c>
    </row>
    <row r="30" spans="2:15" ht="30" customHeight="1" x14ac:dyDescent="0.25"/>
    <row r="31" spans="2:15" ht="30" customHeight="1" thickBot="1" x14ac:dyDescent="0.3">
      <c r="B31" s="129" t="s">
        <v>7</v>
      </c>
      <c r="C31" s="129"/>
      <c r="D31" s="129"/>
      <c r="E31" s="129"/>
      <c r="F31" s="129"/>
      <c r="G31" s="129"/>
      <c r="H31" s="129"/>
      <c r="I31" s="129"/>
      <c r="J31" s="129"/>
      <c r="K31" s="129"/>
    </row>
    <row r="32" spans="2:15" ht="30" customHeight="1" thickBot="1" x14ac:dyDescent="0.3">
      <c r="B32" s="36">
        <v>3</v>
      </c>
      <c r="C32" s="120" t="str">
        <f ca="1">IF(ISBLANK(INDIRECT(ADDRESS(B32*2+2,3))),"",INDIRECT(ADDRESS(B32*2+2,3)))</f>
        <v>Нечаев, Кочетова</v>
      </c>
      <c r="D32" s="120"/>
      <c r="E32" s="121"/>
      <c r="F32" s="37">
        <v>6</v>
      </c>
      <c r="G32" s="38">
        <v>12</v>
      </c>
      <c r="H32" s="122" t="str">
        <f ca="1">IF(ISBLANK(INDIRECT(ADDRESS(K32*2+2,3))),"",INDIRECT(ADDRESS(K32*2+2,3)))</f>
        <v>Капран-Индаяти, Маркина</v>
      </c>
      <c r="I32" s="120"/>
      <c r="J32" s="120"/>
      <c r="K32" s="36">
        <v>1</v>
      </c>
      <c r="L32" s="39" t="s">
        <v>5</v>
      </c>
      <c r="M32" s="40">
        <v>3</v>
      </c>
    </row>
    <row r="33" spans="2:13" ht="30" customHeight="1" thickBot="1" x14ac:dyDescent="0.3">
      <c r="B33" s="36">
        <v>4</v>
      </c>
      <c r="C33" s="120" t="str">
        <f ca="1">IF(ISBLANK(INDIRECT(ADDRESS(B33*2+2,3))),"",INDIRECT(ADDRESS(B33*2+2,3)))</f>
        <v>Федорова, Пилипенко</v>
      </c>
      <c r="D33" s="120"/>
      <c r="E33" s="121"/>
      <c r="F33" s="37">
        <v>3</v>
      </c>
      <c r="G33" s="38">
        <v>13</v>
      </c>
      <c r="H33" s="122" t="str">
        <f ca="1">IF(ISBLANK(INDIRECT(ADDRESS(K33*2+2,3))),"",INDIRECT(ADDRESS(K33*2+2,3)))</f>
        <v>Еремин, Цепелева</v>
      </c>
      <c r="I33" s="120"/>
      <c r="J33" s="120"/>
      <c r="K33" s="36">
        <v>7</v>
      </c>
      <c r="L33" s="39" t="s">
        <v>5</v>
      </c>
      <c r="M33" s="40">
        <v>1</v>
      </c>
    </row>
    <row r="34" spans="2:13" ht="30" customHeight="1" thickBot="1" x14ac:dyDescent="0.3">
      <c r="B34" s="36">
        <v>5</v>
      </c>
      <c r="C34" s="120" t="str">
        <f ca="1">IF(ISBLANK(INDIRECT(ADDRESS(B34*2+2,3))),"",INDIRECT(ADDRESS(B34*2+2,3)))</f>
        <v>Лебедева, Кукушкина</v>
      </c>
      <c r="D34" s="120"/>
      <c r="E34" s="121"/>
      <c r="F34" s="37">
        <v>2</v>
      </c>
      <c r="G34" s="38">
        <v>13</v>
      </c>
      <c r="H34" s="122" t="str">
        <f ca="1">IF(ISBLANK(INDIRECT(ADDRESS(K34*2+2,3))),"",INDIRECT(ADDRESS(K34*2+2,3)))</f>
        <v>Валибуз П., Валибуз И.</v>
      </c>
      <c r="I34" s="120"/>
      <c r="J34" s="120"/>
      <c r="K34" s="36">
        <v>6</v>
      </c>
      <c r="L34" s="39" t="s">
        <v>5</v>
      </c>
      <c r="M34" s="40">
        <v>2</v>
      </c>
    </row>
    <row r="35" spans="2:13" ht="30" customHeight="1" x14ac:dyDescent="0.25"/>
    <row r="36" spans="2:13" ht="30" customHeight="1" thickBot="1" x14ac:dyDescent="0.3">
      <c r="B36" s="129" t="s">
        <v>8</v>
      </c>
      <c r="C36" s="129"/>
      <c r="D36" s="129"/>
      <c r="E36" s="129"/>
      <c r="F36" s="129"/>
      <c r="G36" s="129"/>
      <c r="H36" s="129"/>
      <c r="I36" s="129"/>
      <c r="J36" s="129"/>
      <c r="K36" s="129"/>
    </row>
    <row r="37" spans="2:13" ht="30" customHeight="1" thickBot="1" x14ac:dyDescent="0.3">
      <c r="B37" s="36">
        <v>7</v>
      </c>
      <c r="C37" s="120" t="str">
        <f ca="1">IF(ISBLANK(INDIRECT(ADDRESS(B37*2+2,3))),"",INDIRECT(ADDRESS(B37*2+2,3)))</f>
        <v>Еремин, Цепелева</v>
      </c>
      <c r="D37" s="120"/>
      <c r="E37" s="121"/>
      <c r="F37" s="37">
        <v>13</v>
      </c>
      <c r="G37" s="38">
        <v>6</v>
      </c>
      <c r="H37" s="122" t="str">
        <f ca="1">IF(ISBLANK(INDIRECT(ADDRESS(K37*2+2,3))),"",INDIRECT(ADDRESS(K37*2+2,3)))</f>
        <v>Лебедева, Кукушкина</v>
      </c>
      <c r="I37" s="120"/>
      <c r="J37" s="120"/>
      <c r="K37" s="36">
        <v>5</v>
      </c>
      <c r="L37" s="39" t="s">
        <v>5</v>
      </c>
      <c r="M37" s="40">
        <v>1</v>
      </c>
    </row>
    <row r="38" spans="2:13" ht="30" customHeight="1" thickBot="1" x14ac:dyDescent="0.3">
      <c r="B38" s="36">
        <v>1</v>
      </c>
      <c r="C38" s="120" t="str">
        <f ca="1">IF(ISBLANK(INDIRECT(ADDRESS(B38*2+2,3))),"",INDIRECT(ADDRESS(B38*2+2,3)))</f>
        <v>Капран-Индаяти, Маркина</v>
      </c>
      <c r="D38" s="120"/>
      <c r="E38" s="121"/>
      <c r="F38" s="37">
        <v>13</v>
      </c>
      <c r="G38" s="38">
        <v>1</v>
      </c>
      <c r="H38" s="122" t="str">
        <f ca="1">IF(ISBLANK(INDIRECT(ADDRESS(K38*2+2,3))),"",INDIRECT(ADDRESS(K38*2+2,3)))</f>
        <v>Федорова, Пилипенко</v>
      </c>
      <c r="I38" s="120"/>
      <c r="J38" s="120"/>
      <c r="K38" s="36">
        <v>4</v>
      </c>
      <c r="L38" s="39" t="s">
        <v>5</v>
      </c>
      <c r="M38" s="40">
        <v>2</v>
      </c>
    </row>
    <row r="39" spans="2:13" ht="30" customHeight="1" thickBot="1" x14ac:dyDescent="0.3">
      <c r="B39" s="36">
        <v>2</v>
      </c>
      <c r="C39" s="120" t="str">
        <f ca="1">IF(ISBLANK(INDIRECT(ADDRESS(B39*2+2,3))),"",INDIRECT(ADDRESS(B39*2+2,3)))</f>
        <v>Лукин, Лукина</v>
      </c>
      <c r="D39" s="120"/>
      <c r="E39" s="121"/>
      <c r="F39" s="37">
        <v>13</v>
      </c>
      <c r="G39" s="38">
        <v>0</v>
      </c>
      <c r="H39" s="122" t="str">
        <f ca="1">IF(ISBLANK(INDIRECT(ADDRESS(K39*2+2,3))),"",INDIRECT(ADDRESS(K39*2+2,3)))</f>
        <v>Нечаев, Кочетова</v>
      </c>
      <c r="I39" s="120"/>
      <c r="J39" s="120"/>
      <c r="K39" s="36">
        <v>3</v>
      </c>
      <c r="L39" s="39" t="s">
        <v>5</v>
      </c>
      <c r="M39" s="40">
        <v>3</v>
      </c>
    </row>
    <row r="40" spans="2:13" ht="30" customHeight="1" x14ac:dyDescent="0.25"/>
    <row r="41" spans="2:13" ht="30" customHeight="1" thickBot="1" x14ac:dyDescent="0.3">
      <c r="B41" s="129" t="s">
        <v>9</v>
      </c>
      <c r="C41" s="129"/>
      <c r="D41" s="129"/>
      <c r="E41" s="129"/>
      <c r="F41" s="129"/>
      <c r="G41" s="129"/>
      <c r="H41" s="129"/>
      <c r="I41" s="129"/>
      <c r="J41" s="129"/>
      <c r="K41" s="129"/>
    </row>
    <row r="42" spans="2:13" ht="30" customHeight="1" thickBot="1" x14ac:dyDescent="0.3">
      <c r="B42" s="36">
        <v>4</v>
      </c>
      <c r="C42" s="120" t="str">
        <f ca="1">IF(ISBLANK(INDIRECT(ADDRESS(B42*2+2,3))),"",INDIRECT(ADDRESS(B42*2+2,3)))</f>
        <v>Федорова, Пилипенко</v>
      </c>
      <c r="D42" s="120"/>
      <c r="E42" s="121"/>
      <c r="F42" s="37">
        <v>10</v>
      </c>
      <c r="G42" s="38">
        <v>13</v>
      </c>
      <c r="H42" s="122" t="str">
        <f ca="1">IF(ISBLANK(INDIRECT(ADDRESS(K42*2+2,3))),"",INDIRECT(ADDRESS(K42*2+2,3)))</f>
        <v>Лукин, Лукина</v>
      </c>
      <c r="I42" s="120"/>
      <c r="J42" s="120"/>
      <c r="K42" s="36">
        <v>2</v>
      </c>
      <c r="L42" s="39" t="s">
        <v>5</v>
      </c>
      <c r="M42" s="40">
        <v>2</v>
      </c>
    </row>
    <row r="43" spans="2:13" ht="30" customHeight="1" thickBot="1" x14ac:dyDescent="0.3">
      <c r="B43" s="36">
        <v>5</v>
      </c>
      <c r="C43" s="120" t="str">
        <f ca="1">IF(ISBLANK(INDIRECT(ADDRESS(B43*2+2,3))),"",INDIRECT(ADDRESS(B43*2+2,3)))</f>
        <v>Лебедева, Кукушкина</v>
      </c>
      <c r="D43" s="120"/>
      <c r="E43" s="121"/>
      <c r="F43" s="37">
        <v>0</v>
      </c>
      <c r="G43" s="38">
        <v>13</v>
      </c>
      <c r="H43" s="122" t="str">
        <f ca="1">IF(ISBLANK(INDIRECT(ADDRESS(K43*2+2,3))),"",INDIRECT(ADDRESS(K43*2+2,3)))</f>
        <v>Капран-Индаяти, Маркина</v>
      </c>
      <c r="I43" s="120"/>
      <c r="J43" s="120"/>
      <c r="K43" s="36">
        <v>1</v>
      </c>
      <c r="L43" s="39" t="s">
        <v>5</v>
      </c>
      <c r="M43" s="40">
        <v>3</v>
      </c>
    </row>
    <row r="44" spans="2:13" ht="30" customHeight="1" thickBot="1" x14ac:dyDescent="0.3">
      <c r="B44" s="36">
        <v>6</v>
      </c>
      <c r="C44" s="120" t="str">
        <f ca="1">IF(ISBLANK(INDIRECT(ADDRESS(B44*2+2,3))),"",INDIRECT(ADDRESS(B44*2+2,3)))</f>
        <v>Валибуз П., Валибуз И.</v>
      </c>
      <c r="D44" s="120"/>
      <c r="E44" s="121"/>
      <c r="F44" s="37">
        <v>2</v>
      </c>
      <c r="G44" s="38">
        <v>13</v>
      </c>
      <c r="H44" s="122" t="str">
        <f ca="1">IF(ISBLANK(INDIRECT(ADDRESS(K44*2+2,3))),"",INDIRECT(ADDRESS(K44*2+2,3)))</f>
        <v>Еремин, Цепелева</v>
      </c>
      <c r="I44" s="120"/>
      <c r="J44" s="120"/>
      <c r="K44" s="36">
        <v>7</v>
      </c>
      <c r="L44" s="39" t="s">
        <v>5</v>
      </c>
      <c r="M44" s="40">
        <v>1</v>
      </c>
    </row>
    <row r="45" spans="2:13" ht="30" customHeight="1" x14ac:dyDescent="0.25"/>
    <row r="46" spans="2:13" ht="30" customHeight="1" thickBot="1" x14ac:dyDescent="0.3">
      <c r="B46" s="129" t="s">
        <v>10</v>
      </c>
      <c r="C46" s="129"/>
      <c r="D46" s="129"/>
      <c r="E46" s="129"/>
      <c r="F46" s="129"/>
      <c r="G46" s="129"/>
      <c r="H46" s="129"/>
      <c r="I46" s="129"/>
      <c r="J46" s="129"/>
      <c r="K46" s="129"/>
    </row>
    <row r="47" spans="2:13" ht="30" customHeight="1" thickBot="1" x14ac:dyDescent="0.3">
      <c r="B47" s="36">
        <v>1</v>
      </c>
      <c r="C47" s="120" t="str">
        <f ca="1">IF(ISBLANK(INDIRECT(ADDRESS(B47*2+2,3))),"",INDIRECT(ADDRESS(B47*2+2,3)))</f>
        <v>Капран-Индаяти, Маркина</v>
      </c>
      <c r="D47" s="120"/>
      <c r="E47" s="121"/>
      <c r="F47" s="37">
        <v>13</v>
      </c>
      <c r="G47" s="38">
        <v>1</v>
      </c>
      <c r="H47" s="122" t="str">
        <f ca="1">IF(ISBLANK(INDIRECT(ADDRESS(K47*2+2,3))),"",INDIRECT(ADDRESS(K47*2+2,3)))</f>
        <v>Валибуз П., Валибуз И.</v>
      </c>
      <c r="I47" s="120"/>
      <c r="J47" s="120"/>
      <c r="K47" s="36">
        <v>6</v>
      </c>
      <c r="L47" s="39" t="s">
        <v>5</v>
      </c>
      <c r="M47" s="40">
        <v>3</v>
      </c>
    </row>
    <row r="48" spans="2:13" ht="30" customHeight="1" thickBot="1" x14ac:dyDescent="0.3">
      <c r="B48" s="36">
        <v>2</v>
      </c>
      <c r="C48" s="120" t="str">
        <f ca="1">IF(ISBLANK(INDIRECT(ADDRESS(B48*2+2,3))),"",INDIRECT(ADDRESS(B48*2+2,3)))</f>
        <v>Лукин, Лукина</v>
      </c>
      <c r="D48" s="120"/>
      <c r="E48" s="121"/>
      <c r="F48" s="37">
        <v>13</v>
      </c>
      <c r="G48" s="38">
        <v>7</v>
      </c>
      <c r="H48" s="122" t="str">
        <f ca="1">IF(ISBLANK(INDIRECT(ADDRESS(K48*2+2,3))),"",INDIRECT(ADDRESS(K48*2+2,3)))</f>
        <v>Лебедева, Кукушкина</v>
      </c>
      <c r="I48" s="120"/>
      <c r="J48" s="120"/>
      <c r="K48" s="36">
        <v>5</v>
      </c>
      <c r="L48" s="39" t="s">
        <v>5</v>
      </c>
      <c r="M48" s="40">
        <v>1</v>
      </c>
    </row>
    <row r="49" spans="2:13" ht="30" customHeight="1" thickBot="1" x14ac:dyDescent="0.3">
      <c r="B49" s="36">
        <v>3</v>
      </c>
      <c r="C49" s="120" t="str">
        <f ca="1">IF(ISBLANK(INDIRECT(ADDRESS(B49*2+2,3))),"",INDIRECT(ADDRESS(B49*2+2,3)))</f>
        <v>Нечаев, Кочетова</v>
      </c>
      <c r="D49" s="120"/>
      <c r="E49" s="121"/>
      <c r="F49" s="37">
        <v>13</v>
      </c>
      <c r="G49" s="38">
        <v>2</v>
      </c>
      <c r="H49" s="122" t="str">
        <f ca="1">IF(ISBLANK(INDIRECT(ADDRESS(K49*2+2,3))),"",INDIRECT(ADDRESS(K49*2+2,3)))</f>
        <v>Федорова, Пилипенко</v>
      </c>
      <c r="I49" s="120"/>
      <c r="J49" s="120"/>
      <c r="K49" s="36">
        <v>4</v>
      </c>
      <c r="L49" s="39" t="s">
        <v>5</v>
      </c>
      <c r="M49" s="40">
        <v>2</v>
      </c>
    </row>
    <row r="50" spans="2:13" ht="30" customHeight="1" x14ac:dyDescent="0.25"/>
    <row r="51" spans="2:13" ht="30" customHeight="1" thickBot="1" x14ac:dyDescent="0.3">
      <c r="B51" s="129" t="s">
        <v>11</v>
      </c>
      <c r="C51" s="129"/>
      <c r="D51" s="129"/>
      <c r="E51" s="129"/>
      <c r="F51" s="129"/>
      <c r="G51" s="129"/>
      <c r="H51" s="129"/>
      <c r="I51" s="129"/>
      <c r="J51" s="129"/>
      <c r="K51" s="129"/>
    </row>
    <row r="52" spans="2:13" ht="30" customHeight="1" thickBot="1" x14ac:dyDescent="0.3">
      <c r="B52" s="36">
        <v>5</v>
      </c>
      <c r="C52" s="120" t="str">
        <f ca="1">IF(ISBLANK(INDIRECT(ADDRESS(B52*2+2,3))),"",INDIRECT(ADDRESS(B52*2+2,3)))</f>
        <v>Лебедева, Кукушкина</v>
      </c>
      <c r="D52" s="120"/>
      <c r="E52" s="121"/>
      <c r="F52" s="37">
        <v>13</v>
      </c>
      <c r="G52" s="38">
        <v>6</v>
      </c>
      <c r="H52" s="122" t="str">
        <f ca="1">IF(ISBLANK(INDIRECT(ADDRESS(K52*2+2,3))),"",INDIRECT(ADDRESS(K52*2+2,3)))</f>
        <v>Нечаев, Кочетова</v>
      </c>
      <c r="I52" s="120"/>
      <c r="J52" s="120"/>
      <c r="K52" s="36">
        <v>3</v>
      </c>
      <c r="L52" s="39" t="s">
        <v>5</v>
      </c>
      <c r="M52" s="40">
        <v>1</v>
      </c>
    </row>
    <row r="53" spans="2:13" ht="30" customHeight="1" thickBot="1" x14ac:dyDescent="0.3">
      <c r="B53" s="36">
        <v>6</v>
      </c>
      <c r="C53" s="120" t="str">
        <f ca="1">IF(ISBLANK(INDIRECT(ADDRESS(B53*2+2,3))),"",INDIRECT(ADDRESS(B53*2+2,3)))</f>
        <v>Валибуз П., Валибуз И.</v>
      </c>
      <c r="D53" s="120"/>
      <c r="E53" s="121"/>
      <c r="F53" s="37">
        <v>13</v>
      </c>
      <c r="G53" s="38">
        <v>10</v>
      </c>
      <c r="H53" s="122" t="str">
        <f ca="1">IF(ISBLANK(INDIRECT(ADDRESS(K53*2+2,3))),"",INDIRECT(ADDRESS(K53*2+2,3)))</f>
        <v>Лукин, Лукина</v>
      </c>
      <c r="I53" s="120"/>
      <c r="J53" s="120"/>
      <c r="K53" s="36">
        <v>2</v>
      </c>
      <c r="L53" s="39" t="s">
        <v>5</v>
      </c>
      <c r="M53" s="40">
        <v>2</v>
      </c>
    </row>
    <row r="54" spans="2:13" ht="30" customHeight="1" thickBot="1" x14ac:dyDescent="0.3">
      <c r="B54" s="36">
        <v>7</v>
      </c>
      <c r="C54" s="120" t="str">
        <f ca="1">IF(ISBLANK(INDIRECT(ADDRESS(B54*2+2,3))),"",INDIRECT(ADDRESS(B54*2+2,3)))</f>
        <v>Еремин, Цепелева</v>
      </c>
      <c r="D54" s="120"/>
      <c r="E54" s="121"/>
      <c r="F54" s="37">
        <v>5</v>
      </c>
      <c r="G54" s="38">
        <v>13</v>
      </c>
      <c r="H54" s="122" t="str">
        <f ca="1">IF(ISBLANK(INDIRECT(ADDRESS(K54*2+2,3))),"",INDIRECT(ADDRESS(K54*2+2,3)))</f>
        <v>Капран-Индаяти, Маркина</v>
      </c>
      <c r="I54" s="120"/>
      <c r="J54" s="120"/>
      <c r="K54" s="36">
        <v>1</v>
      </c>
      <c r="L54" s="39" t="s">
        <v>5</v>
      </c>
      <c r="M54" s="40">
        <v>3</v>
      </c>
    </row>
    <row r="57" spans="2:13" x14ac:dyDescent="0.25">
      <c r="B57" s="95" t="s">
        <v>21</v>
      </c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5"/>
    </row>
    <row r="58" spans="2:13" x14ac:dyDescent="0.25"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</row>
    <row r="59" spans="2:13" x14ac:dyDescent="0.25"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</row>
    <row r="60" spans="2:13" x14ac:dyDescent="0.25">
      <c r="B60" s="95" t="s">
        <v>22</v>
      </c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95"/>
    </row>
  </sheetData>
  <mergeCells count="81">
    <mergeCell ref="C54:E54"/>
    <mergeCell ref="H54:J54"/>
    <mergeCell ref="B46:K46"/>
    <mergeCell ref="C47:E47"/>
    <mergeCell ref="H47:J47"/>
    <mergeCell ref="C48:E48"/>
    <mergeCell ref="H48:J48"/>
    <mergeCell ref="C49:E49"/>
    <mergeCell ref="H49:J49"/>
    <mergeCell ref="B51:K51"/>
    <mergeCell ref="C52:E52"/>
    <mergeCell ref="H52:J52"/>
    <mergeCell ref="C53:E53"/>
    <mergeCell ref="H53:J53"/>
    <mergeCell ref="C44:E44"/>
    <mergeCell ref="H44:J44"/>
    <mergeCell ref="B36:K36"/>
    <mergeCell ref="C37:E37"/>
    <mergeCell ref="H37:J37"/>
    <mergeCell ref="C38:E38"/>
    <mergeCell ref="H38:J38"/>
    <mergeCell ref="C39:E39"/>
    <mergeCell ref="H39:J39"/>
    <mergeCell ref="B41:K41"/>
    <mergeCell ref="C42:E42"/>
    <mergeCell ref="H42:J42"/>
    <mergeCell ref="C43:E43"/>
    <mergeCell ref="H43:J43"/>
    <mergeCell ref="C34:E34"/>
    <mergeCell ref="H34:J34"/>
    <mergeCell ref="B26:K26"/>
    <mergeCell ref="C27:E27"/>
    <mergeCell ref="H27:J27"/>
    <mergeCell ref="C28:E28"/>
    <mergeCell ref="H28:J28"/>
    <mergeCell ref="C29:E29"/>
    <mergeCell ref="H29:J29"/>
    <mergeCell ref="B31:K31"/>
    <mergeCell ref="C32:E32"/>
    <mergeCell ref="H32:J32"/>
    <mergeCell ref="C33:E33"/>
    <mergeCell ref="H33:J33"/>
    <mergeCell ref="C24:E24"/>
    <mergeCell ref="H24:J24"/>
    <mergeCell ref="B14:B15"/>
    <mergeCell ref="C14:E15"/>
    <mergeCell ref="M14:M15"/>
    <mergeCell ref="B21:K21"/>
    <mergeCell ref="C22:E22"/>
    <mergeCell ref="H22:J22"/>
    <mergeCell ref="C23:E23"/>
    <mergeCell ref="H23:J23"/>
    <mergeCell ref="O14:O15"/>
    <mergeCell ref="B16:B17"/>
    <mergeCell ref="C16:E17"/>
    <mergeCell ref="M16:M17"/>
    <mergeCell ref="O16:O17"/>
    <mergeCell ref="B10:B11"/>
    <mergeCell ref="C10:E11"/>
    <mergeCell ref="M10:M11"/>
    <mergeCell ref="O10:O11"/>
    <mergeCell ref="B12:B13"/>
    <mergeCell ref="C12:E13"/>
    <mergeCell ref="M12:M13"/>
    <mergeCell ref="O12:O13"/>
    <mergeCell ref="O4:O5"/>
    <mergeCell ref="B1:O1"/>
    <mergeCell ref="B57:M57"/>
    <mergeCell ref="B60:M60"/>
    <mergeCell ref="C3:E3"/>
    <mergeCell ref="B4:B5"/>
    <mergeCell ref="C4:E5"/>
    <mergeCell ref="M4:M5"/>
    <mergeCell ref="B6:B7"/>
    <mergeCell ref="C6:E7"/>
    <mergeCell ref="M6:M7"/>
    <mergeCell ref="O6:O7"/>
    <mergeCell ref="B8:B9"/>
    <mergeCell ref="C8:E9"/>
    <mergeCell ref="M8:M9"/>
    <mergeCell ref="O8:O9"/>
  </mergeCells>
  <printOptions horizontalCentered="1"/>
  <pageMargins left="0.31496062992125984" right="0.31496062992125984" top="0.35433070866141736" bottom="0.55118110236220474" header="0.31496062992125984" footer="0.31496062992125984"/>
  <pageSetup paperSize="9" scale="53" orientation="portrait" horizontalDpi="4294967293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81023-96B5-4B4C-AE99-DC0630273306}">
  <dimension ref="A1:O18"/>
  <sheetViews>
    <sheetView zoomScaleNormal="100" workbookViewId="0">
      <selection activeCell="G17" sqref="G17"/>
    </sheetView>
  </sheetViews>
  <sheetFormatPr defaultRowHeight="15" x14ac:dyDescent="0.25"/>
  <cols>
    <col min="2" max="2" width="25.7109375" customWidth="1"/>
    <col min="3" max="3" width="22.42578125" customWidth="1"/>
    <col min="4" max="4" width="34.85546875" customWidth="1"/>
  </cols>
  <sheetData>
    <row r="1" spans="1:15" ht="55.5" customHeight="1" x14ac:dyDescent="0.35">
      <c r="A1" s="130" t="s">
        <v>42</v>
      </c>
      <c r="B1" s="130"/>
      <c r="C1" s="130"/>
      <c r="D1" s="130"/>
      <c r="E1" s="66"/>
      <c r="F1" s="66"/>
      <c r="G1" s="66"/>
      <c r="H1" s="66"/>
      <c r="I1" s="66"/>
      <c r="J1" s="66"/>
      <c r="K1" s="66"/>
    </row>
    <row r="2" spans="1:15" ht="102.75" customHeight="1" x14ac:dyDescent="0.25">
      <c r="A2" s="131" t="s">
        <v>53</v>
      </c>
      <c r="B2" s="131"/>
      <c r="C2" s="131"/>
      <c r="D2" s="131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3" spans="1:15" ht="15.75" thickBot="1" x14ac:dyDescent="0.3"/>
    <row r="4" spans="1:15" ht="15.75" thickBot="1" x14ac:dyDescent="0.3">
      <c r="A4" s="73" t="s">
        <v>43</v>
      </c>
      <c r="B4" s="74" t="s">
        <v>44</v>
      </c>
      <c r="C4" s="75" t="s">
        <v>45</v>
      </c>
      <c r="D4" s="76" t="s">
        <v>46</v>
      </c>
    </row>
    <row r="5" spans="1:15" x14ac:dyDescent="0.25">
      <c r="A5" s="71">
        <v>1</v>
      </c>
      <c r="B5" s="72" t="s">
        <v>18</v>
      </c>
      <c r="C5" s="77" t="s">
        <v>48</v>
      </c>
      <c r="D5" s="87">
        <v>14</v>
      </c>
    </row>
    <row r="6" spans="1:15" x14ac:dyDescent="0.25">
      <c r="A6" s="63">
        <v>2</v>
      </c>
      <c r="B6" s="68" t="s">
        <v>20</v>
      </c>
      <c r="C6" s="62" t="s">
        <v>48</v>
      </c>
      <c r="D6" s="88">
        <v>12</v>
      </c>
    </row>
    <row r="7" spans="1:15" x14ac:dyDescent="0.25">
      <c r="A7" s="63">
        <v>3</v>
      </c>
      <c r="B7" s="67" t="s">
        <v>13</v>
      </c>
      <c r="C7" s="62" t="s">
        <v>47</v>
      </c>
      <c r="D7" s="88">
        <v>11</v>
      </c>
    </row>
    <row r="8" spans="1:15" x14ac:dyDescent="0.25">
      <c r="A8" s="63">
        <v>4</v>
      </c>
      <c r="B8" s="67" t="s">
        <v>17</v>
      </c>
      <c r="C8" s="62" t="s">
        <v>48</v>
      </c>
      <c r="D8" s="88">
        <v>10</v>
      </c>
    </row>
    <row r="9" spans="1:15" x14ac:dyDescent="0.25">
      <c r="A9" s="63">
        <v>5</v>
      </c>
      <c r="B9" s="67" t="s">
        <v>15</v>
      </c>
      <c r="C9" s="62" t="s">
        <v>48</v>
      </c>
      <c r="D9" s="88">
        <v>9</v>
      </c>
    </row>
    <row r="10" spans="1:15" x14ac:dyDescent="0.25">
      <c r="A10" s="63">
        <v>6</v>
      </c>
      <c r="B10" s="69" t="s">
        <v>16</v>
      </c>
      <c r="C10" s="62" t="s">
        <v>48</v>
      </c>
      <c r="D10" s="88">
        <v>8</v>
      </c>
    </row>
    <row r="11" spans="1:15" x14ac:dyDescent="0.25">
      <c r="A11" s="63">
        <v>7</v>
      </c>
      <c r="B11" s="69" t="s">
        <v>19</v>
      </c>
      <c r="C11" s="62" t="s">
        <v>48</v>
      </c>
      <c r="D11" s="88">
        <v>7</v>
      </c>
    </row>
    <row r="12" spans="1:15" ht="15.75" thickBot="1" x14ac:dyDescent="0.3">
      <c r="A12" s="60">
        <v>8</v>
      </c>
      <c r="B12" s="70" t="s">
        <v>14</v>
      </c>
      <c r="C12" s="59" t="s">
        <v>54</v>
      </c>
      <c r="D12" s="89">
        <v>6</v>
      </c>
    </row>
    <row r="14" spans="1:15" ht="21" x14ac:dyDescent="0.35">
      <c r="A14" s="57"/>
      <c r="B14" s="57"/>
      <c r="C14" s="57"/>
      <c r="D14" s="57"/>
      <c r="E14" s="57"/>
      <c r="F14" s="57"/>
      <c r="G14" s="56"/>
    </row>
    <row r="15" spans="1:15" ht="19.5" customHeight="1" x14ac:dyDescent="0.35">
      <c r="A15" s="57" t="s">
        <v>50</v>
      </c>
      <c r="B15" s="57"/>
      <c r="C15" s="57"/>
      <c r="D15" s="57"/>
      <c r="E15" s="57"/>
      <c r="F15" s="57"/>
      <c r="G15" s="56"/>
    </row>
    <row r="16" spans="1:15" ht="15" customHeight="1" x14ac:dyDescent="0.35">
      <c r="A16" s="57"/>
      <c r="B16" s="57"/>
      <c r="C16" s="57"/>
      <c r="D16" s="57"/>
      <c r="E16" s="57"/>
      <c r="F16" s="57"/>
      <c r="G16" s="56"/>
    </row>
    <row r="17" spans="1:7" ht="21" x14ac:dyDescent="0.35">
      <c r="A17" s="57"/>
      <c r="B17" s="57"/>
      <c r="C17" s="57"/>
      <c r="D17" s="57"/>
      <c r="E17" s="57"/>
      <c r="F17" s="57"/>
      <c r="G17" s="56"/>
    </row>
    <row r="18" spans="1:7" ht="21" x14ac:dyDescent="0.35">
      <c r="A18" s="57" t="s">
        <v>55</v>
      </c>
      <c r="B18" s="57"/>
      <c r="C18" s="57"/>
      <c r="D18" s="57"/>
      <c r="E18" s="57"/>
      <c r="F18" s="57"/>
      <c r="G18" s="56"/>
    </row>
  </sheetData>
  <mergeCells count="2">
    <mergeCell ref="A1:D1"/>
    <mergeCell ref="A2:D2"/>
  </mergeCells>
  <pageMargins left="0.75" right="0.49" top="0.7" bottom="1" header="0.5" footer="0.5"/>
  <pageSetup paperSize="9"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BF407-12D1-418E-890A-7644FD03A33E}">
  <dimension ref="A1:K17"/>
  <sheetViews>
    <sheetView zoomScaleNormal="100" workbookViewId="0">
      <selection activeCell="A2" sqref="A2:D2"/>
    </sheetView>
  </sheetViews>
  <sheetFormatPr defaultRowHeight="15" x14ac:dyDescent="0.25"/>
  <cols>
    <col min="2" max="2" width="25.7109375" customWidth="1"/>
    <col min="3" max="3" width="22.42578125" customWidth="1"/>
    <col min="4" max="4" width="31.28515625" customWidth="1"/>
  </cols>
  <sheetData>
    <row r="1" spans="1:11" ht="54" customHeight="1" x14ac:dyDescent="0.35">
      <c r="A1" s="130" t="s">
        <v>42</v>
      </c>
      <c r="B1" s="130"/>
      <c r="C1" s="130"/>
      <c r="D1" s="130"/>
      <c r="E1" s="66"/>
      <c r="F1" s="66"/>
      <c r="G1" s="66"/>
      <c r="H1" s="66"/>
      <c r="I1" s="66"/>
      <c r="J1" s="66"/>
      <c r="K1" s="66"/>
    </row>
    <row r="2" spans="1:11" ht="98.25" customHeight="1" x14ac:dyDescent="0.25">
      <c r="A2" s="131" t="s">
        <v>56</v>
      </c>
      <c r="B2" s="131"/>
      <c r="C2" s="131"/>
      <c r="D2" s="131"/>
      <c r="E2" s="65"/>
      <c r="F2" s="65"/>
      <c r="G2" s="64"/>
      <c r="H2" s="64"/>
      <c r="I2" s="64"/>
      <c r="J2" s="64"/>
    </row>
    <row r="3" spans="1:11" ht="15.75" thickBot="1" x14ac:dyDescent="0.3"/>
    <row r="4" spans="1:11" ht="15.75" thickBot="1" x14ac:dyDescent="0.3">
      <c r="A4" s="73" t="s">
        <v>43</v>
      </c>
      <c r="B4" s="74" t="s">
        <v>44</v>
      </c>
      <c r="C4" s="75" t="s">
        <v>45</v>
      </c>
      <c r="D4" s="76" t="s">
        <v>46</v>
      </c>
    </row>
    <row r="5" spans="1:11" x14ac:dyDescent="0.25">
      <c r="A5" s="71">
        <v>1</v>
      </c>
      <c r="B5" s="86" t="s">
        <v>23</v>
      </c>
      <c r="C5" s="62" t="s">
        <v>48</v>
      </c>
      <c r="D5" s="87">
        <v>14</v>
      </c>
    </row>
    <row r="6" spans="1:11" x14ac:dyDescent="0.25">
      <c r="A6" s="63">
        <v>2</v>
      </c>
      <c r="B6" s="67" t="s">
        <v>27</v>
      </c>
      <c r="C6" s="62" t="s">
        <v>48</v>
      </c>
      <c r="D6" s="88">
        <v>12</v>
      </c>
    </row>
    <row r="7" spans="1:11" x14ac:dyDescent="0.25">
      <c r="A7" s="63">
        <v>3</v>
      </c>
      <c r="B7" s="67" t="s">
        <v>28</v>
      </c>
      <c r="C7" s="62" t="s">
        <v>48</v>
      </c>
      <c r="D7" s="88">
        <v>11</v>
      </c>
    </row>
    <row r="8" spans="1:11" x14ac:dyDescent="0.25">
      <c r="A8" s="63">
        <v>4</v>
      </c>
      <c r="B8" s="68" t="s">
        <v>29</v>
      </c>
      <c r="C8" s="62" t="s">
        <v>48</v>
      </c>
      <c r="D8" s="88">
        <v>10</v>
      </c>
    </row>
    <row r="9" spans="1:11" x14ac:dyDescent="0.25">
      <c r="A9" s="80">
        <v>5</v>
      </c>
      <c r="B9" s="68" t="s">
        <v>26</v>
      </c>
      <c r="C9" s="62" t="s">
        <v>47</v>
      </c>
      <c r="D9" s="88">
        <v>9</v>
      </c>
    </row>
    <row r="10" spans="1:11" x14ac:dyDescent="0.25">
      <c r="A10" s="63">
        <v>6</v>
      </c>
      <c r="B10" s="68" t="s">
        <v>24</v>
      </c>
      <c r="C10" s="62" t="s">
        <v>49</v>
      </c>
      <c r="D10" s="88">
        <v>8</v>
      </c>
    </row>
    <row r="11" spans="1:11" ht="15.75" thickBot="1" x14ac:dyDescent="0.3">
      <c r="A11" s="81">
        <v>7</v>
      </c>
      <c r="B11" s="82" t="s">
        <v>25</v>
      </c>
      <c r="C11" s="59" t="s">
        <v>57</v>
      </c>
      <c r="D11" s="89">
        <v>7</v>
      </c>
    </row>
    <row r="12" spans="1:11" x14ac:dyDescent="0.25">
      <c r="A12" s="83"/>
      <c r="B12" s="79"/>
      <c r="C12" s="84"/>
      <c r="D12" s="85"/>
    </row>
    <row r="13" spans="1:11" ht="21" x14ac:dyDescent="0.35">
      <c r="A13" s="57"/>
      <c r="B13" s="57"/>
      <c r="C13" s="57"/>
      <c r="D13" s="57"/>
      <c r="E13" s="57"/>
      <c r="F13" s="57"/>
      <c r="G13" s="56"/>
    </row>
    <row r="14" spans="1:11" ht="19.5" customHeight="1" x14ac:dyDescent="0.35">
      <c r="A14" s="57" t="s">
        <v>50</v>
      </c>
      <c r="B14" s="57"/>
      <c r="C14" s="57"/>
      <c r="D14" s="57"/>
      <c r="E14" s="57"/>
      <c r="F14" s="57"/>
      <c r="G14" s="56"/>
    </row>
    <row r="15" spans="1:11" ht="15" customHeight="1" x14ac:dyDescent="0.35">
      <c r="A15" s="57"/>
      <c r="B15" s="57"/>
      <c r="C15" s="57"/>
      <c r="D15" s="57"/>
      <c r="E15" s="57"/>
      <c r="F15" s="57"/>
      <c r="G15" s="56"/>
    </row>
    <row r="16" spans="1:11" ht="21" x14ac:dyDescent="0.35">
      <c r="A16" s="57"/>
      <c r="B16" s="57"/>
      <c r="C16" s="57"/>
      <c r="D16" s="57"/>
      <c r="E16" s="57"/>
      <c r="F16" s="57"/>
      <c r="G16" s="56"/>
    </row>
    <row r="17" spans="1:7" ht="21" x14ac:dyDescent="0.35">
      <c r="A17" s="57" t="s">
        <v>55</v>
      </c>
      <c r="B17" s="57"/>
      <c r="C17" s="57"/>
      <c r="D17" s="57"/>
      <c r="E17" s="57"/>
      <c r="F17" s="57"/>
      <c r="G17" s="56"/>
    </row>
  </sheetData>
  <mergeCells count="2">
    <mergeCell ref="A1:D1"/>
    <mergeCell ref="A2:D2"/>
  </mergeCells>
  <pageMargins left="0.75" right="0.49" top="0.7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DB24E-6C25-4F77-A717-086768323AE9}">
  <dimension ref="A1:K24"/>
  <sheetViews>
    <sheetView tabSelected="1" zoomScaleNormal="100" workbookViewId="0">
      <selection activeCell="P2" sqref="P2"/>
    </sheetView>
  </sheetViews>
  <sheetFormatPr defaultRowHeight="15" x14ac:dyDescent="0.25"/>
  <cols>
    <col min="2" max="2" width="25.7109375" customWidth="1"/>
    <col min="3" max="3" width="22.42578125" customWidth="1"/>
    <col min="4" max="4" width="31.28515625" customWidth="1"/>
  </cols>
  <sheetData>
    <row r="1" spans="1:11" ht="54" customHeight="1" x14ac:dyDescent="0.35">
      <c r="A1" s="130" t="s">
        <v>42</v>
      </c>
      <c r="B1" s="130"/>
      <c r="C1" s="130"/>
      <c r="D1" s="130"/>
      <c r="E1" s="66"/>
      <c r="F1" s="66"/>
      <c r="G1" s="66"/>
      <c r="H1" s="66"/>
      <c r="I1" s="66"/>
      <c r="J1" s="66"/>
      <c r="K1" s="66"/>
    </row>
    <row r="2" spans="1:11" ht="100.5" customHeight="1" x14ac:dyDescent="0.25">
      <c r="A2" s="94" t="s">
        <v>61</v>
      </c>
      <c r="B2" s="94"/>
      <c r="C2" s="94"/>
      <c r="D2" s="94"/>
      <c r="E2" s="65"/>
      <c r="F2" s="65"/>
      <c r="G2" s="64"/>
      <c r="H2" s="64"/>
      <c r="I2" s="64"/>
      <c r="J2" s="64"/>
    </row>
    <row r="3" spans="1:11" ht="15.75" thickBot="1" x14ac:dyDescent="0.3"/>
    <row r="4" spans="1:11" ht="15.75" thickBot="1" x14ac:dyDescent="0.3">
      <c r="A4" s="73" t="s">
        <v>43</v>
      </c>
      <c r="B4" s="74" t="s">
        <v>44</v>
      </c>
      <c r="C4" s="75" t="s">
        <v>45</v>
      </c>
      <c r="D4" s="76" t="s">
        <v>46</v>
      </c>
    </row>
    <row r="5" spans="1:11" x14ac:dyDescent="0.25">
      <c r="A5" s="71">
        <v>1</v>
      </c>
      <c r="B5" s="90" t="s">
        <v>13</v>
      </c>
      <c r="C5" s="77" t="s">
        <v>47</v>
      </c>
      <c r="D5" s="78">
        <v>20</v>
      </c>
    </row>
    <row r="6" spans="1:11" x14ac:dyDescent="0.25">
      <c r="A6" s="63">
        <v>1</v>
      </c>
      <c r="B6" s="67" t="s">
        <v>59</v>
      </c>
      <c r="C6" s="77" t="s">
        <v>47</v>
      </c>
      <c r="D6" s="61">
        <v>20</v>
      </c>
    </row>
    <row r="7" spans="1:11" x14ac:dyDescent="0.25">
      <c r="A7" s="63">
        <v>2</v>
      </c>
      <c r="B7" s="67" t="s">
        <v>18</v>
      </c>
      <c r="C7" s="62" t="s">
        <v>48</v>
      </c>
      <c r="D7" s="61">
        <v>17</v>
      </c>
    </row>
    <row r="8" spans="1:11" x14ac:dyDescent="0.25">
      <c r="A8" s="63">
        <v>2</v>
      </c>
      <c r="B8" s="67" t="s">
        <v>27</v>
      </c>
      <c r="C8" s="62" t="s">
        <v>48</v>
      </c>
      <c r="D8" s="61">
        <v>17</v>
      </c>
    </row>
    <row r="9" spans="1:11" x14ac:dyDescent="0.25">
      <c r="A9" s="63">
        <v>3</v>
      </c>
      <c r="B9" s="67" t="s">
        <v>17</v>
      </c>
      <c r="C9" s="62" t="s">
        <v>48</v>
      </c>
      <c r="D9" s="61">
        <v>15</v>
      </c>
    </row>
    <row r="10" spans="1:11" x14ac:dyDescent="0.25">
      <c r="A10" s="63">
        <v>3</v>
      </c>
      <c r="B10" s="67" t="s">
        <v>60</v>
      </c>
      <c r="C10" s="62" t="s">
        <v>48</v>
      </c>
      <c r="D10" s="61">
        <v>15</v>
      </c>
    </row>
    <row r="11" spans="1:11" x14ac:dyDescent="0.25">
      <c r="A11" s="63">
        <v>4</v>
      </c>
      <c r="B11" s="67" t="s">
        <v>15</v>
      </c>
      <c r="C11" s="62" t="s">
        <v>48</v>
      </c>
      <c r="D11" s="61">
        <v>14</v>
      </c>
    </row>
    <row r="12" spans="1:11" x14ac:dyDescent="0.25">
      <c r="A12" s="63">
        <v>4</v>
      </c>
      <c r="B12" s="67" t="s">
        <v>28</v>
      </c>
      <c r="C12" s="62" t="s">
        <v>48</v>
      </c>
      <c r="D12" s="61">
        <v>14</v>
      </c>
    </row>
    <row r="13" spans="1:11" x14ac:dyDescent="0.25">
      <c r="A13" s="63">
        <v>5</v>
      </c>
      <c r="B13" s="67" t="s">
        <v>23</v>
      </c>
      <c r="C13" s="62" t="s">
        <v>48</v>
      </c>
      <c r="D13" s="61">
        <v>13</v>
      </c>
    </row>
    <row r="14" spans="1:11" x14ac:dyDescent="0.25">
      <c r="A14" s="63">
        <v>5</v>
      </c>
      <c r="B14" s="68" t="s">
        <v>26</v>
      </c>
      <c r="C14" s="77" t="s">
        <v>47</v>
      </c>
      <c r="D14" s="61">
        <v>13</v>
      </c>
    </row>
    <row r="15" spans="1:11" x14ac:dyDescent="0.25">
      <c r="A15" s="63">
        <v>6</v>
      </c>
      <c r="B15" s="69" t="s">
        <v>19</v>
      </c>
      <c r="C15" s="62" t="s">
        <v>48</v>
      </c>
      <c r="D15" s="61">
        <v>12</v>
      </c>
    </row>
    <row r="16" spans="1:11" x14ac:dyDescent="0.25">
      <c r="A16" s="63">
        <v>6</v>
      </c>
      <c r="B16" s="68" t="s">
        <v>29</v>
      </c>
      <c r="C16" s="62" t="s">
        <v>48</v>
      </c>
      <c r="D16" s="61">
        <v>12</v>
      </c>
    </row>
    <row r="17" spans="1:7" x14ac:dyDescent="0.25">
      <c r="A17" s="63">
        <v>7</v>
      </c>
      <c r="B17" s="68" t="s">
        <v>24</v>
      </c>
      <c r="C17" s="62" t="s">
        <v>49</v>
      </c>
      <c r="D17" s="61">
        <v>11</v>
      </c>
    </row>
    <row r="18" spans="1:7" ht="15.75" thickBot="1" x14ac:dyDescent="0.3">
      <c r="A18" s="60">
        <v>7</v>
      </c>
      <c r="B18" s="82" t="s">
        <v>25</v>
      </c>
      <c r="C18" s="91" t="s">
        <v>51</v>
      </c>
      <c r="D18" s="58">
        <v>11</v>
      </c>
    </row>
    <row r="20" spans="1:7" ht="21" x14ac:dyDescent="0.35">
      <c r="A20" s="57"/>
      <c r="B20" s="57"/>
      <c r="C20" s="57"/>
      <c r="D20" s="57"/>
      <c r="E20" s="57"/>
      <c r="F20" s="57"/>
      <c r="G20" s="56"/>
    </row>
    <row r="21" spans="1:7" ht="19.5" customHeight="1" x14ac:dyDescent="0.35">
      <c r="A21" s="57" t="s">
        <v>50</v>
      </c>
      <c r="B21" s="57"/>
      <c r="C21" s="57"/>
      <c r="D21" s="57"/>
      <c r="E21" s="57"/>
      <c r="F21" s="57"/>
      <c r="G21" s="56"/>
    </row>
    <row r="22" spans="1:7" ht="15" customHeight="1" x14ac:dyDescent="0.35">
      <c r="A22" s="57"/>
      <c r="B22" s="57"/>
      <c r="C22" s="57"/>
      <c r="D22" s="57"/>
      <c r="E22" s="57"/>
      <c r="F22" s="57"/>
      <c r="G22" s="56"/>
    </row>
    <row r="23" spans="1:7" ht="21" x14ac:dyDescent="0.35">
      <c r="A23" s="57"/>
      <c r="B23" s="57"/>
      <c r="C23" s="57"/>
      <c r="D23" s="57"/>
      <c r="E23" s="57"/>
      <c r="F23" s="57"/>
      <c r="G23" s="56"/>
    </row>
    <row r="24" spans="1:7" ht="21" x14ac:dyDescent="0.35">
      <c r="A24" s="57" t="s">
        <v>55</v>
      </c>
      <c r="B24" s="57"/>
      <c r="C24" s="57"/>
      <c r="D24" s="57"/>
      <c r="E24" s="57"/>
      <c r="F24" s="57"/>
      <c r="G24" s="56"/>
    </row>
  </sheetData>
  <mergeCells count="2">
    <mergeCell ref="A1:D1"/>
    <mergeCell ref="A2:D2"/>
  </mergeCells>
  <pageMargins left="0.75" right="0.49" top="0.7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ОРТ Железный шар (мужчины)</vt:lpstr>
      <vt:lpstr>ОРТ Железный шар (женщины)</vt:lpstr>
      <vt:lpstr>Кубок ВФБ (миксты)</vt:lpstr>
      <vt:lpstr>Итоги ГП России ОРТ ЖШ муж</vt:lpstr>
      <vt:lpstr>Итоги ГП России ОРТ ЖШ жен</vt:lpstr>
      <vt:lpstr>Итоги ГП России Кубок ВФБ микст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UserPC</dc:creator>
  <cp:lastModifiedBy>UserPC</cp:lastModifiedBy>
  <dcterms:created xsi:type="dcterms:W3CDTF">2024-09-17T18:22:21Z</dcterms:created>
  <dcterms:modified xsi:type="dcterms:W3CDTF">2024-09-17T20:51:32Z</dcterms:modified>
</cp:coreProperties>
</file>